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c32600c98841145f/Asiakirjat/Kesätyö/Dippatyö/Dippatyö 1.0/"/>
    </mc:Choice>
  </mc:AlternateContent>
  <xr:revisionPtr revIDLastSave="3895" documentId="8_{C227A0D7-6F7B-4A7E-95AB-6647AD3A0BF6}" xr6:coauthVersionLast="47" xr6:coauthVersionMax="47" xr10:uidLastSave="{E914F476-79D7-452F-BA8E-3D13A8B1E2EA}"/>
  <bookViews>
    <workbookView xWindow="-110" yWindow="-110" windowWidth="19420" windowHeight="10300" xr2:uid="{149029AB-C6FA-4DAF-BD98-02AE82459594}"/>
  </bookViews>
  <sheets>
    <sheet name="Tehdas A" sheetId="10" r:id="rId1"/>
    <sheet name="Tehdas B" sheetId="8" r:id="rId2"/>
    <sheet name="Tehdas C" sheetId="11" r:id="rId3"/>
    <sheet name="Tuloksia" sheetId="1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6" i="10" l="1"/>
  <c r="I55" i="10"/>
  <c r="I54" i="10"/>
  <c r="J54" i="10"/>
  <c r="K47" i="10"/>
  <c r="J53" i="10"/>
  <c r="J26" i="10"/>
  <c r="J28" i="10"/>
  <c r="E26" i="10"/>
  <c r="G46" i="12"/>
  <c r="F46" i="12"/>
  <c r="E46" i="12"/>
  <c r="D46" i="12"/>
  <c r="D139" i="10"/>
  <c r="I66" i="10"/>
  <c r="D104" i="8"/>
  <c r="D104" i="10"/>
  <c r="L108" i="10"/>
  <c r="J54" i="11"/>
  <c r="J53" i="11"/>
  <c r="J52" i="11"/>
  <c r="K49" i="11"/>
  <c r="J55" i="11" s="1"/>
  <c r="K48" i="11"/>
  <c r="K47" i="11"/>
  <c r="K46" i="11"/>
  <c r="K49" i="8"/>
  <c r="J56" i="8" s="1"/>
  <c r="K48" i="8"/>
  <c r="J55" i="8" s="1"/>
  <c r="K47" i="8"/>
  <c r="J54" i="8" s="1"/>
  <c r="K46" i="8"/>
  <c r="J53" i="8" s="1"/>
  <c r="J56" i="10"/>
  <c r="K49" i="10"/>
  <c r="K48" i="10"/>
  <c r="J55" i="10" s="1"/>
  <c r="K46" i="10"/>
  <c r="F16" i="11" l="1"/>
  <c r="L111" i="10" l="1"/>
  <c r="L112" i="10" s="1"/>
  <c r="J26" i="8"/>
  <c r="J31" i="10"/>
  <c r="J29" i="11" l="1"/>
  <c r="E62" i="12" l="1"/>
  <c r="E61" i="12"/>
  <c r="E60" i="12"/>
  <c r="G26" i="12"/>
  <c r="G43" i="12"/>
  <c r="F43" i="12"/>
  <c r="E43" i="12"/>
  <c r="D43" i="12"/>
  <c r="G42" i="12"/>
  <c r="F42" i="12"/>
  <c r="E42" i="12"/>
  <c r="D42" i="12"/>
  <c r="G41" i="12"/>
  <c r="F41" i="12"/>
  <c r="E41" i="12"/>
  <c r="D41" i="12"/>
  <c r="M108" i="11"/>
  <c r="I13" i="10" l="1"/>
  <c r="H150" i="11" l="1"/>
  <c r="G150" i="11"/>
  <c r="F150" i="11"/>
  <c r="E150" i="11"/>
  <c r="H138" i="11"/>
  <c r="G138" i="11"/>
  <c r="F138" i="11"/>
  <c r="E138" i="11"/>
  <c r="H126" i="11"/>
  <c r="G126" i="11"/>
  <c r="F126" i="11"/>
  <c r="E126" i="11"/>
  <c r="H150" i="8"/>
  <c r="G150" i="8"/>
  <c r="F150" i="8"/>
  <c r="E150" i="8"/>
  <c r="H138" i="8"/>
  <c r="G138" i="8"/>
  <c r="F138" i="8"/>
  <c r="E138" i="8"/>
  <c r="H126" i="8"/>
  <c r="G126" i="8"/>
  <c r="F126" i="8"/>
  <c r="E126" i="8"/>
  <c r="D150" i="11"/>
  <c r="D150" i="8"/>
  <c r="H150" i="10"/>
  <c r="G150" i="10"/>
  <c r="F150" i="10"/>
  <c r="E150" i="10"/>
  <c r="D150" i="10"/>
  <c r="H138" i="10"/>
  <c r="G138" i="10"/>
  <c r="F138" i="10"/>
  <c r="E138" i="10"/>
  <c r="E126" i="10"/>
  <c r="H126" i="10"/>
  <c r="G126" i="10"/>
  <c r="F126" i="10"/>
  <c r="C86" i="10"/>
  <c r="J4" i="11" l="1"/>
  <c r="J3" i="11"/>
  <c r="J4" i="8"/>
  <c r="J3" i="8"/>
  <c r="J4" i="10"/>
  <c r="J3" i="10"/>
  <c r="J29" i="8"/>
  <c r="E22" i="10"/>
  <c r="E21" i="10"/>
  <c r="E20" i="10"/>
  <c r="E19" i="10"/>
  <c r="E18" i="10"/>
  <c r="E17" i="10"/>
  <c r="E16" i="10"/>
  <c r="E15" i="10"/>
  <c r="E14" i="10"/>
  <c r="F22" i="10"/>
  <c r="F21" i="10"/>
  <c r="F20" i="10"/>
  <c r="F19" i="10"/>
  <c r="F18" i="10"/>
  <c r="F17" i="10"/>
  <c r="F16" i="10"/>
  <c r="F15" i="10"/>
  <c r="F14" i="10"/>
  <c r="F22" i="8"/>
  <c r="F21" i="8"/>
  <c r="F20" i="8"/>
  <c r="F19" i="8"/>
  <c r="F18" i="8"/>
  <c r="F17" i="8"/>
  <c r="F16" i="8"/>
  <c r="F15" i="8"/>
  <c r="F14" i="8"/>
  <c r="E22" i="8"/>
  <c r="E21" i="8"/>
  <c r="E20" i="8"/>
  <c r="E19" i="8"/>
  <c r="E18" i="8"/>
  <c r="E17" i="8"/>
  <c r="E16" i="8"/>
  <c r="E15" i="8"/>
  <c r="E14" i="8"/>
  <c r="F15" i="11"/>
  <c r="F17" i="11"/>
  <c r="F18" i="11"/>
  <c r="F19" i="11"/>
  <c r="F20" i="11"/>
  <c r="F21" i="11"/>
  <c r="F22" i="11"/>
  <c r="F14" i="11"/>
  <c r="E14" i="11"/>
  <c r="E17" i="11"/>
  <c r="E18" i="11"/>
  <c r="E19" i="11"/>
  <c r="E20" i="11"/>
  <c r="E21" i="11"/>
  <c r="E22" i="11"/>
  <c r="E16" i="11"/>
  <c r="E15" i="11"/>
  <c r="I13" i="11"/>
  <c r="J12" i="11"/>
  <c r="J11" i="11"/>
  <c r="J10" i="11"/>
  <c r="J9" i="11"/>
  <c r="J8" i="11"/>
  <c r="J7" i="11"/>
  <c r="J6" i="11"/>
  <c r="J5" i="11"/>
  <c r="J12" i="10"/>
  <c r="J11" i="10"/>
  <c r="J10" i="10"/>
  <c r="J9" i="10"/>
  <c r="J8" i="10"/>
  <c r="J7" i="10"/>
  <c r="J6" i="10"/>
  <c r="J5" i="10"/>
  <c r="D104" i="11"/>
  <c r="V102" i="11"/>
  <c r="V103" i="11" s="1"/>
  <c r="M103" i="11" s="1"/>
  <c r="M102" i="11"/>
  <c r="C87" i="11"/>
  <c r="C86" i="11"/>
  <c r="C85" i="11"/>
  <c r="C84" i="11"/>
  <c r="C81" i="11"/>
  <c r="C80" i="11"/>
  <c r="C79" i="11"/>
  <c r="C78" i="11"/>
  <c r="C75" i="11"/>
  <c r="C74" i="11"/>
  <c r="C73" i="11"/>
  <c r="C72" i="11"/>
  <c r="C69" i="11"/>
  <c r="C111" i="11" s="1"/>
  <c r="C68" i="11"/>
  <c r="C67" i="11"/>
  <c r="C66" i="11"/>
  <c r="E47" i="11"/>
  <c r="J26" i="11"/>
  <c r="V102" i="10"/>
  <c r="V103" i="10" s="1"/>
  <c r="M103" i="10" s="1"/>
  <c r="M102" i="10"/>
  <c r="C87" i="10"/>
  <c r="C85" i="10"/>
  <c r="C84" i="10"/>
  <c r="C81" i="10"/>
  <c r="C80" i="10"/>
  <c r="C79" i="10"/>
  <c r="C78" i="10"/>
  <c r="C75" i="10"/>
  <c r="C74" i="10"/>
  <c r="C73" i="10"/>
  <c r="C72" i="10"/>
  <c r="C69" i="10"/>
  <c r="C111" i="10" s="1"/>
  <c r="C68" i="10"/>
  <c r="C67" i="10"/>
  <c r="C109" i="10" s="1"/>
  <c r="C66" i="10"/>
  <c r="C90" i="10" s="1"/>
  <c r="E47" i="10"/>
  <c r="C90" i="11" l="1"/>
  <c r="C108" i="11"/>
  <c r="G108" i="11"/>
  <c r="C114" i="11"/>
  <c r="C120" i="11"/>
  <c r="G114" i="11"/>
  <c r="C109" i="11"/>
  <c r="C121" i="11"/>
  <c r="C92" i="11"/>
  <c r="G110" i="11"/>
  <c r="C116" i="11"/>
  <c r="G116" i="11"/>
  <c r="C110" i="11"/>
  <c r="C122" i="11"/>
  <c r="C108" i="10"/>
  <c r="C114" i="10"/>
  <c r="G114" i="10"/>
  <c r="G108" i="10"/>
  <c r="C120" i="10"/>
  <c r="C92" i="10"/>
  <c r="C110" i="10"/>
  <c r="G116" i="10"/>
  <c r="C116" i="10"/>
  <c r="G110" i="10"/>
  <c r="C122" i="10"/>
  <c r="J31" i="11"/>
  <c r="P26" i="11" s="1"/>
  <c r="P27" i="11" s="1"/>
  <c r="P28" i="11" s="1"/>
  <c r="P29" i="11" s="1"/>
  <c r="J13" i="10"/>
  <c r="J13" i="11"/>
  <c r="G109" i="11"/>
  <c r="G111" i="11"/>
  <c r="C93" i="11"/>
  <c r="G115" i="11"/>
  <c r="G117" i="11"/>
  <c r="C115" i="11"/>
  <c r="C117" i="11"/>
  <c r="C91" i="11"/>
  <c r="M111" i="11"/>
  <c r="M112" i="11" s="1"/>
  <c r="P26" i="10"/>
  <c r="P27" i="10" s="1"/>
  <c r="P28" i="10" s="1"/>
  <c r="P29" i="10" s="1"/>
  <c r="E27" i="10"/>
  <c r="E28" i="10" s="1"/>
  <c r="E29" i="10" s="1"/>
  <c r="C115" i="10"/>
  <c r="C117" i="10"/>
  <c r="G109" i="10"/>
  <c r="G111" i="10"/>
  <c r="C93" i="10"/>
  <c r="G115" i="10"/>
  <c r="G117" i="10"/>
  <c r="C91" i="10"/>
  <c r="I13" i="8"/>
  <c r="M109" i="8"/>
  <c r="M112" i="8" s="1"/>
  <c r="M113" i="8" s="1"/>
  <c r="J31" i="8"/>
  <c r="P26" i="8" s="1"/>
  <c r="V103" i="8"/>
  <c r="V104" i="8" s="1"/>
  <c r="M104" i="8" s="1"/>
  <c r="M103" i="8"/>
  <c r="C87" i="8"/>
  <c r="C86" i="8"/>
  <c r="C85" i="8"/>
  <c r="C84" i="8"/>
  <c r="C81" i="8"/>
  <c r="C80" i="8"/>
  <c r="C79" i="8"/>
  <c r="C78" i="8"/>
  <c r="C75" i="8"/>
  <c r="C74" i="8"/>
  <c r="C73" i="8"/>
  <c r="C72" i="8"/>
  <c r="C69" i="8"/>
  <c r="G118" i="8" s="1"/>
  <c r="C68" i="8"/>
  <c r="C67" i="8"/>
  <c r="C66" i="8"/>
  <c r="E47" i="8"/>
  <c r="J11" i="8"/>
  <c r="J10" i="8"/>
  <c r="J9" i="8"/>
  <c r="J8" i="8"/>
  <c r="J7" i="8"/>
  <c r="J6" i="8"/>
  <c r="J5" i="8"/>
  <c r="I60" i="10" l="1"/>
  <c r="I61" i="10"/>
  <c r="I62" i="10"/>
  <c r="I53" i="10"/>
  <c r="I59" i="10" s="1"/>
  <c r="G116" i="8"/>
  <c r="C122" i="8"/>
  <c r="C90" i="8"/>
  <c r="C115" i="8"/>
  <c r="C109" i="8"/>
  <c r="G115" i="8"/>
  <c r="G109" i="8"/>
  <c r="C121" i="8"/>
  <c r="C92" i="8"/>
  <c r="G117" i="8"/>
  <c r="C111" i="8"/>
  <c r="G111" i="8"/>
  <c r="C123" i="8"/>
  <c r="C117" i="8"/>
  <c r="E39" i="10"/>
  <c r="E52" i="12"/>
  <c r="E26" i="11"/>
  <c r="E27" i="11" s="1"/>
  <c r="E28" i="11" s="1"/>
  <c r="E29" i="11" s="1"/>
  <c r="P42" i="11"/>
  <c r="P49" i="11" s="1"/>
  <c r="P56" i="11" s="1"/>
  <c r="P41" i="11"/>
  <c r="P48" i="11" s="1"/>
  <c r="P55" i="11" s="1"/>
  <c r="P39" i="11"/>
  <c r="P46" i="11" s="1"/>
  <c r="P53" i="11" s="1"/>
  <c r="P40" i="11"/>
  <c r="P47" i="11" s="1"/>
  <c r="P54" i="11" s="1"/>
  <c r="P43" i="11"/>
  <c r="P50" i="11" s="1"/>
  <c r="P57" i="11" s="1"/>
  <c r="E42" i="10"/>
  <c r="G27" i="12" s="1"/>
  <c r="F61" i="12" s="1"/>
  <c r="E41" i="10"/>
  <c r="F27" i="12" s="1"/>
  <c r="F60" i="12" s="1"/>
  <c r="E43" i="10"/>
  <c r="E40" i="10"/>
  <c r="P42" i="10"/>
  <c r="P49" i="10" s="1"/>
  <c r="P56" i="10" s="1"/>
  <c r="P41" i="10"/>
  <c r="P48" i="10" s="1"/>
  <c r="P55" i="10" s="1"/>
  <c r="P40" i="10"/>
  <c r="P47" i="10" s="1"/>
  <c r="P54" i="10" s="1"/>
  <c r="P43" i="10"/>
  <c r="P50" i="10" s="1"/>
  <c r="P57" i="10" s="1"/>
  <c r="P39" i="10"/>
  <c r="P46" i="10" s="1"/>
  <c r="P53" i="10" s="1"/>
  <c r="J12" i="8"/>
  <c r="J13" i="8" s="1"/>
  <c r="C91" i="8"/>
  <c r="C93" i="8"/>
  <c r="C112" i="8"/>
  <c r="C118" i="8"/>
  <c r="C110" i="8"/>
  <c r="E26" i="8"/>
  <c r="C116" i="8"/>
  <c r="P27" i="8"/>
  <c r="P28" i="8" s="1"/>
  <c r="P29" i="8" s="1"/>
  <c r="G110" i="8"/>
  <c r="G112" i="8"/>
  <c r="I63" i="10" l="1"/>
  <c r="J59" i="10" s="1"/>
  <c r="J63" i="10" s="1"/>
  <c r="D129" i="10"/>
  <c r="D141" i="10" s="1"/>
  <c r="E66" i="10"/>
  <c r="D127" i="10"/>
  <c r="D132" i="10"/>
  <c r="D144" i="10" s="1"/>
  <c r="J62" i="10"/>
  <c r="H27" i="12"/>
  <c r="F62" i="12" s="1"/>
  <c r="H136" i="10"/>
  <c r="H148" i="10" s="1"/>
  <c r="H127" i="10"/>
  <c r="H139" i="10" s="1"/>
  <c r="J61" i="10"/>
  <c r="J60" i="10"/>
  <c r="I55" i="11"/>
  <c r="I62" i="11" s="1"/>
  <c r="I54" i="11"/>
  <c r="I61" i="11" s="1"/>
  <c r="I53" i="11"/>
  <c r="I60" i="11" s="1"/>
  <c r="I52" i="11"/>
  <c r="I59" i="11" s="1"/>
  <c r="E39" i="11"/>
  <c r="D29" i="12" s="1"/>
  <c r="H58" i="12" s="1"/>
  <c r="E54" i="12"/>
  <c r="D128" i="10"/>
  <c r="D140" i="10" s="1"/>
  <c r="D27" i="12"/>
  <c r="F58" i="12" s="1"/>
  <c r="E131" i="10"/>
  <c r="E143" i="10" s="1"/>
  <c r="E27" i="12"/>
  <c r="F59" i="12" s="1"/>
  <c r="E43" i="11"/>
  <c r="H131" i="11" s="1"/>
  <c r="H143" i="11" s="1"/>
  <c r="E41" i="11"/>
  <c r="F134" i="11" s="1"/>
  <c r="E42" i="11"/>
  <c r="G29" i="12" s="1"/>
  <c r="H61" i="12" s="1"/>
  <c r="E40" i="11"/>
  <c r="E136" i="11" s="1"/>
  <c r="F131" i="10"/>
  <c r="F143" i="10" s="1"/>
  <c r="F127" i="10"/>
  <c r="F139" i="10" s="1"/>
  <c r="F128" i="10"/>
  <c r="F132" i="10"/>
  <c r="F133" i="10"/>
  <c r="E81" i="10"/>
  <c r="F134" i="10"/>
  <c r="F135" i="10"/>
  <c r="F147" i="10" s="1"/>
  <c r="F136" i="10"/>
  <c r="F129" i="10"/>
  <c r="F141" i="10" s="1"/>
  <c r="F130" i="10"/>
  <c r="H133" i="10"/>
  <c r="H134" i="10"/>
  <c r="H160" i="10"/>
  <c r="H135" i="10"/>
  <c r="H147" i="10" s="1"/>
  <c r="H128" i="10"/>
  <c r="H131" i="10"/>
  <c r="H143" i="10" s="1"/>
  <c r="H132" i="10"/>
  <c r="H129" i="10"/>
  <c r="H141" i="10" s="1"/>
  <c r="H130" i="10"/>
  <c r="G132" i="10"/>
  <c r="G135" i="10"/>
  <c r="G147" i="10" s="1"/>
  <c r="G131" i="10"/>
  <c r="G143" i="10" s="1"/>
  <c r="G133" i="10"/>
  <c r="G129" i="10"/>
  <c r="G141" i="10" s="1"/>
  <c r="G130" i="10"/>
  <c r="G134" i="10"/>
  <c r="G128" i="10"/>
  <c r="G136" i="10"/>
  <c r="G127" i="10"/>
  <c r="G139" i="10" s="1"/>
  <c r="E135" i="10"/>
  <c r="E147" i="10" s="1"/>
  <c r="E133" i="10"/>
  <c r="E128" i="10"/>
  <c r="E136" i="10"/>
  <c r="E130" i="10"/>
  <c r="E132" i="10"/>
  <c r="E127" i="10"/>
  <c r="E139" i="10" s="1"/>
  <c r="E129" i="10"/>
  <c r="E141" i="10" s="1"/>
  <c r="E134" i="10"/>
  <c r="D131" i="10"/>
  <c r="D143" i="10" s="1"/>
  <c r="D133" i="10"/>
  <c r="D152" i="10"/>
  <c r="D156" i="10"/>
  <c r="D134" i="10"/>
  <c r="D130" i="10"/>
  <c r="D135" i="10"/>
  <c r="D147" i="10" s="1"/>
  <c r="D136" i="10"/>
  <c r="E128" i="11"/>
  <c r="E90" i="10"/>
  <c r="E92" i="10"/>
  <c r="E93" i="10"/>
  <c r="E91" i="10"/>
  <c r="E69" i="10"/>
  <c r="E68" i="10"/>
  <c r="E67" i="10"/>
  <c r="E84" i="10"/>
  <c r="E87" i="10"/>
  <c r="E86" i="10"/>
  <c r="E85" i="10"/>
  <c r="E72" i="10"/>
  <c r="E74" i="10"/>
  <c r="E75" i="10"/>
  <c r="E73" i="10"/>
  <c r="E78" i="10"/>
  <c r="E79" i="10"/>
  <c r="E80" i="10"/>
  <c r="P41" i="8"/>
  <c r="P48" i="8" s="1"/>
  <c r="P55" i="8" s="1"/>
  <c r="P43" i="8"/>
  <c r="P50" i="8" s="1"/>
  <c r="P57" i="8" s="1"/>
  <c r="P39" i="8"/>
  <c r="P46" i="8" s="1"/>
  <c r="P53" i="8" s="1"/>
  <c r="P42" i="8"/>
  <c r="P49" i="8" s="1"/>
  <c r="P56" i="8" s="1"/>
  <c r="P40" i="8"/>
  <c r="P47" i="8" s="1"/>
  <c r="P54" i="8" s="1"/>
  <c r="E27" i="8"/>
  <c r="E28" i="8" s="1"/>
  <c r="E29" i="8" s="1"/>
  <c r="I56" i="8" s="1"/>
  <c r="I62" i="8" s="1"/>
  <c r="G47" i="12" s="1"/>
  <c r="E129" i="11" l="1"/>
  <c r="E141" i="11" s="1"/>
  <c r="E72" i="11"/>
  <c r="I72" i="11" s="1"/>
  <c r="E130" i="11"/>
  <c r="E142" i="11" s="1"/>
  <c r="E154" i="11" s="1"/>
  <c r="E133" i="11"/>
  <c r="I63" i="11"/>
  <c r="J61" i="11" s="1"/>
  <c r="E48" i="12"/>
  <c r="E140" i="11"/>
  <c r="E152" i="11" s="1"/>
  <c r="F48" i="12"/>
  <c r="F146" i="11"/>
  <c r="F158" i="11" s="1"/>
  <c r="K72" i="11"/>
  <c r="J72" i="11"/>
  <c r="H133" i="11"/>
  <c r="E145" i="11"/>
  <c r="E21" i="12" s="1"/>
  <c r="G48" i="12"/>
  <c r="E84" i="11"/>
  <c r="H127" i="11"/>
  <c r="H139" i="11" s="1"/>
  <c r="H151" i="11" s="1"/>
  <c r="D48" i="12"/>
  <c r="G136" i="11"/>
  <c r="D130" i="11"/>
  <c r="H129" i="11"/>
  <c r="H141" i="11" s="1"/>
  <c r="H19" i="12" s="1"/>
  <c r="E148" i="11"/>
  <c r="E160" i="11" s="1"/>
  <c r="J81" i="10"/>
  <c r="H81" i="10"/>
  <c r="K81" i="10"/>
  <c r="I81" i="10"/>
  <c r="I85" i="10"/>
  <c r="J85" i="10"/>
  <c r="K85" i="10"/>
  <c r="H85" i="10"/>
  <c r="J93" i="10"/>
  <c r="H93" i="10"/>
  <c r="I93" i="10"/>
  <c r="K93" i="10"/>
  <c r="D154" i="10"/>
  <c r="D142" i="10"/>
  <c r="G148" i="10"/>
  <c r="G160" i="10" s="1"/>
  <c r="G156" i="10"/>
  <c r="G144" i="10"/>
  <c r="H158" i="10"/>
  <c r="H146" i="10"/>
  <c r="Q111" i="10"/>
  <c r="F145" i="10"/>
  <c r="E142" i="10"/>
  <c r="E154" i="10" s="1"/>
  <c r="G158" i="10"/>
  <c r="G146" i="10"/>
  <c r="F154" i="10"/>
  <c r="F142" i="10"/>
  <c r="F152" i="10"/>
  <c r="F140" i="10"/>
  <c r="K72" i="10"/>
  <c r="H72" i="10"/>
  <c r="I72" i="10"/>
  <c r="J72" i="10"/>
  <c r="E160" i="10"/>
  <c r="E148" i="10"/>
  <c r="G154" i="10"/>
  <c r="G142" i="10"/>
  <c r="H144" i="10"/>
  <c r="H156" i="10" s="1"/>
  <c r="J66" i="10"/>
  <c r="K66" i="10"/>
  <c r="H66" i="10"/>
  <c r="J79" i="10"/>
  <c r="H79" i="10"/>
  <c r="K79" i="10"/>
  <c r="I79" i="10"/>
  <c r="K84" i="10"/>
  <c r="H84" i="10"/>
  <c r="J84" i="10"/>
  <c r="I84" i="10"/>
  <c r="K67" i="10"/>
  <c r="J67" i="10"/>
  <c r="H67" i="10"/>
  <c r="I67" i="10"/>
  <c r="O111" i="10"/>
  <c r="D145" i="10"/>
  <c r="E152" i="10"/>
  <c r="E140" i="10"/>
  <c r="F160" i="10"/>
  <c r="F148" i="10"/>
  <c r="J80" i="10"/>
  <c r="H80" i="10"/>
  <c r="K80" i="10"/>
  <c r="I80" i="10"/>
  <c r="K86" i="10"/>
  <c r="I86" i="10"/>
  <c r="H86" i="10"/>
  <c r="J86" i="10"/>
  <c r="D146" i="10"/>
  <c r="D158" i="10" s="1"/>
  <c r="I90" i="10"/>
  <c r="J90" i="10"/>
  <c r="H90" i="10"/>
  <c r="K90" i="10"/>
  <c r="I73" i="10"/>
  <c r="H73" i="10"/>
  <c r="K73" i="10"/>
  <c r="J73" i="10"/>
  <c r="I75" i="10"/>
  <c r="J75" i="10"/>
  <c r="H75" i="10"/>
  <c r="K75" i="10"/>
  <c r="H68" i="10"/>
  <c r="K68" i="10"/>
  <c r="J68" i="10"/>
  <c r="I68" i="10"/>
  <c r="P111" i="10"/>
  <c r="E145" i="10"/>
  <c r="R111" i="10"/>
  <c r="G145" i="10"/>
  <c r="H152" i="10"/>
  <c r="H140" i="10"/>
  <c r="J91" i="10"/>
  <c r="K91" i="10"/>
  <c r="H91" i="10"/>
  <c r="I91" i="10"/>
  <c r="J92" i="10"/>
  <c r="K92" i="10"/>
  <c r="H92" i="10"/>
  <c r="I92" i="10"/>
  <c r="E144" i="10"/>
  <c r="E156" i="10" s="1"/>
  <c r="G152" i="10"/>
  <c r="G140" i="10"/>
  <c r="H154" i="10"/>
  <c r="H142" i="10"/>
  <c r="S111" i="10"/>
  <c r="H145" i="10"/>
  <c r="F144" i="10"/>
  <c r="F156" i="10" s="1"/>
  <c r="H87" i="10"/>
  <c r="K87" i="10"/>
  <c r="I87" i="10"/>
  <c r="J87" i="10"/>
  <c r="I78" i="10"/>
  <c r="J78" i="10"/>
  <c r="K78" i="10"/>
  <c r="H78" i="10"/>
  <c r="K74" i="10"/>
  <c r="I74" i="10"/>
  <c r="H74" i="10"/>
  <c r="J74" i="10"/>
  <c r="I69" i="10"/>
  <c r="H69" i="10"/>
  <c r="K69" i="10"/>
  <c r="J69" i="10"/>
  <c r="D160" i="10"/>
  <c r="D148" i="10"/>
  <c r="E158" i="10"/>
  <c r="E146" i="10"/>
  <c r="F158" i="10"/>
  <c r="F146" i="10"/>
  <c r="E53" i="12"/>
  <c r="I54" i="8"/>
  <c r="I60" i="8" s="1"/>
  <c r="E47" i="12" s="1"/>
  <c r="I55" i="8"/>
  <c r="I61" i="8" s="1"/>
  <c r="F47" i="12" s="1"/>
  <c r="I53" i="8"/>
  <c r="I59" i="8" s="1"/>
  <c r="D47" i="12" s="1"/>
  <c r="E87" i="11"/>
  <c r="D134" i="11"/>
  <c r="G132" i="11"/>
  <c r="G129" i="11"/>
  <c r="G141" i="11" s="1"/>
  <c r="G19" i="12" s="1"/>
  <c r="E90" i="11"/>
  <c r="G134" i="11"/>
  <c r="E86" i="11"/>
  <c r="D132" i="11"/>
  <c r="G133" i="11"/>
  <c r="E68" i="11"/>
  <c r="D131" i="11"/>
  <c r="G135" i="11"/>
  <c r="G147" i="11" s="1"/>
  <c r="G159" i="11" s="1"/>
  <c r="E66" i="11"/>
  <c r="D128" i="11"/>
  <c r="E69" i="11"/>
  <c r="D136" i="11"/>
  <c r="E67" i="11"/>
  <c r="D135" i="11"/>
  <c r="D147" i="11" s="1"/>
  <c r="D159" i="11" s="1"/>
  <c r="D133" i="11"/>
  <c r="G131" i="11"/>
  <c r="G143" i="11" s="1"/>
  <c r="G155" i="11" s="1"/>
  <c r="G127" i="11"/>
  <c r="G139" i="11" s="1"/>
  <c r="G18" i="12" s="1"/>
  <c r="E78" i="11"/>
  <c r="E91" i="11"/>
  <c r="G130" i="11"/>
  <c r="E85" i="11"/>
  <c r="D129" i="11"/>
  <c r="D127" i="11"/>
  <c r="D139" i="11" s="1"/>
  <c r="G128" i="11"/>
  <c r="E131" i="11"/>
  <c r="E143" i="11" s="1"/>
  <c r="E155" i="11" s="1"/>
  <c r="E29" i="12"/>
  <c r="H59" i="12" s="1"/>
  <c r="E132" i="11"/>
  <c r="F129" i="11"/>
  <c r="F29" i="12"/>
  <c r="H60" i="12" s="1"/>
  <c r="H132" i="11"/>
  <c r="H29" i="12"/>
  <c r="H62" i="12" s="1"/>
  <c r="D157" i="10"/>
  <c r="D7" i="12"/>
  <c r="D159" i="10"/>
  <c r="D8" i="12"/>
  <c r="D155" i="10"/>
  <c r="D6" i="12"/>
  <c r="G153" i="10"/>
  <c r="G5" i="12"/>
  <c r="H151" i="10"/>
  <c r="H4" i="12"/>
  <c r="F153" i="10"/>
  <c r="F5" i="12"/>
  <c r="F151" i="10"/>
  <c r="F4" i="12"/>
  <c r="H157" i="10"/>
  <c r="H7" i="12"/>
  <c r="D151" i="10"/>
  <c r="D4" i="12"/>
  <c r="G157" i="10"/>
  <c r="G34" i="12" s="1"/>
  <c r="G7" i="12"/>
  <c r="E159" i="10"/>
  <c r="E8" i="12"/>
  <c r="G155" i="10"/>
  <c r="G6" i="12"/>
  <c r="F159" i="10"/>
  <c r="F8" i="12"/>
  <c r="E155" i="10"/>
  <c r="E6" i="12"/>
  <c r="H155" i="10"/>
  <c r="H6" i="12"/>
  <c r="D153" i="10"/>
  <c r="D5" i="12"/>
  <c r="E153" i="10"/>
  <c r="E5" i="12"/>
  <c r="G151" i="10"/>
  <c r="G4" i="12"/>
  <c r="G159" i="10"/>
  <c r="G8" i="12"/>
  <c r="H159" i="10"/>
  <c r="H8" i="12"/>
  <c r="E151" i="10"/>
  <c r="E4" i="12"/>
  <c r="H153" i="10"/>
  <c r="H5" i="12"/>
  <c r="E157" i="10"/>
  <c r="E7" i="12"/>
  <c r="F155" i="10"/>
  <c r="F6" i="12"/>
  <c r="F157" i="10"/>
  <c r="F34" i="12" s="1"/>
  <c r="F7" i="12"/>
  <c r="D22" i="12"/>
  <c r="H155" i="11"/>
  <c r="H20" i="12"/>
  <c r="E153" i="11"/>
  <c r="E19" i="12"/>
  <c r="F135" i="11"/>
  <c r="F147" i="11" s="1"/>
  <c r="F132" i="11"/>
  <c r="E93" i="11"/>
  <c r="H128" i="11"/>
  <c r="F128" i="11"/>
  <c r="F131" i="11"/>
  <c r="F143" i="11" s="1"/>
  <c r="E92" i="11"/>
  <c r="H136" i="11"/>
  <c r="F133" i="11"/>
  <c r="F130" i="11"/>
  <c r="F127" i="11"/>
  <c r="F139" i="11" s="1"/>
  <c r="F136" i="11"/>
  <c r="E81" i="11"/>
  <c r="H135" i="11"/>
  <c r="H147" i="11" s="1"/>
  <c r="E80" i="11"/>
  <c r="H130" i="11"/>
  <c r="E79" i="11"/>
  <c r="H134" i="11"/>
  <c r="E73" i="11"/>
  <c r="E135" i="11"/>
  <c r="E147" i="11" s="1"/>
  <c r="E134" i="11"/>
  <c r="E75" i="11"/>
  <c r="E74" i="11"/>
  <c r="E127" i="11"/>
  <c r="E139" i="11" s="1"/>
  <c r="E41" i="8"/>
  <c r="F28" i="12" s="1"/>
  <c r="G60" i="12" s="1"/>
  <c r="E43" i="8"/>
  <c r="H28" i="12" s="1"/>
  <c r="G62" i="12" s="1"/>
  <c r="E39" i="8"/>
  <c r="D28" i="12" s="1"/>
  <c r="G58" i="12" s="1"/>
  <c r="E40" i="8"/>
  <c r="E28" i="12" s="1"/>
  <c r="G59" i="12" s="1"/>
  <c r="E42" i="8"/>
  <c r="G28" i="12" s="1"/>
  <c r="G61" i="12" s="1"/>
  <c r="H18" i="12" l="1"/>
  <c r="P111" i="11"/>
  <c r="E36" i="12" s="1"/>
  <c r="E157" i="11"/>
  <c r="H72" i="11"/>
  <c r="H153" i="11"/>
  <c r="J62" i="11"/>
  <c r="G151" i="11"/>
  <c r="J60" i="11"/>
  <c r="J63" i="11" s="1"/>
  <c r="G20" i="12"/>
  <c r="E20" i="12"/>
  <c r="J59" i="11"/>
  <c r="G153" i="11"/>
  <c r="F148" i="11"/>
  <c r="F160" i="11" s="1"/>
  <c r="I79" i="11"/>
  <c r="H79" i="11"/>
  <c r="K79" i="11"/>
  <c r="J79" i="11"/>
  <c r="K85" i="11"/>
  <c r="J85" i="11"/>
  <c r="H85" i="11"/>
  <c r="I85" i="11"/>
  <c r="I67" i="11"/>
  <c r="H67" i="11"/>
  <c r="K67" i="11"/>
  <c r="J67" i="11"/>
  <c r="G145" i="11"/>
  <c r="R111" i="11" s="1"/>
  <c r="G36" i="12" s="1"/>
  <c r="J87" i="11"/>
  <c r="K87" i="11"/>
  <c r="I87" i="11"/>
  <c r="H87" i="11"/>
  <c r="L87" i="11" s="1"/>
  <c r="H117" i="11" s="1"/>
  <c r="I117" i="11" s="1"/>
  <c r="G148" i="11"/>
  <c r="G160" i="11" s="1"/>
  <c r="H142" i="11"/>
  <c r="H154" i="11" s="1"/>
  <c r="H148" i="11"/>
  <c r="H160" i="11" s="1"/>
  <c r="F141" i="11"/>
  <c r="F19" i="12" s="1"/>
  <c r="G142" i="11"/>
  <c r="G154" i="11" s="1"/>
  <c r="D148" i="11"/>
  <c r="D160" i="11" s="1"/>
  <c r="D144" i="11"/>
  <c r="D156" i="11" s="1"/>
  <c r="H145" i="11"/>
  <c r="S111" i="11" s="1"/>
  <c r="E144" i="11"/>
  <c r="E156" i="11" s="1"/>
  <c r="I91" i="11"/>
  <c r="H91" i="11"/>
  <c r="K91" i="11"/>
  <c r="J91" i="11"/>
  <c r="K69" i="11"/>
  <c r="J69" i="11"/>
  <c r="I69" i="11"/>
  <c r="H69" i="11"/>
  <c r="H86" i="11"/>
  <c r="K86" i="11"/>
  <c r="J86" i="11"/>
  <c r="I86" i="11"/>
  <c r="K78" i="11"/>
  <c r="J78" i="11"/>
  <c r="I78" i="11"/>
  <c r="H78" i="11"/>
  <c r="D140" i="11"/>
  <c r="D152" i="11" s="1"/>
  <c r="G146" i="11"/>
  <c r="G158" i="11" s="1"/>
  <c r="H140" i="11"/>
  <c r="H152" i="11" s="1"/>
  <c r="F145" i="11"/>
  <c r="F157" i="11" s="1"/>
  <c r="H74" i="11"/>
  <c r="K74" i="11"/>
  <c r="J74" i="11"/>
  <c r="I74" i="11"/>
  <c r="H80" i="11"/>
  <c r="I80" i="11"/>
  <c r="K80" i="11"/>
  <c r="J80" i="11"/>
  <c r="J92" i="11"/>
  <c r="I92" i="11"/>
  <c r="H92" i="11"/>
  <c r="K92" i="11"/>
  <c r="K75" i="11"/>
  <c r="J75" i="11"/>
  <c r="H75" i="11"/>
  <c r="I75" i="11"/>
  <c r="E146" i="11"/>
  <c r="E158" i="11" s="1"/>
  <c r="I81" i="11"/>
  <c r="H81" i="11"/>
  <c r="J81" i="11"/>
  <c r="K81" i="11"/>
  <c r="F140" i="11"/>
  <c r="F152" i="11" s="1"/>
  <c r="K66" i="11"/>
  <c r="J66" i="11"/>
  <c r="H66" i="11"/>
  <c r="I66" i="11"/>
  <c r="K90" i="11"/>
  <c r="J90" i="11"/>
  <c r="I90" i="11"/>
  <c r="H90" i="11"/>
  <c r="I84" i="11"/>
  <c r="H84" i="11"/>
  <c r="K84" i="11"/>
  <c r="J84" i="11"/>
  <c r="L72" i="11"/>
  <c r="D114" i="11" s="1"/>
  <c r="E114" i="11" s="1"/>
  <c r="G22" i="12"/>
  <c r="D145" i="11"/>
  <c r="D157" i="11" s="1"/>
  <c r="D143" i="11"/>
  <c r="D155" i="11" s="1"/>
  <c r="G144" i="11"/>
  <c r="G156" i="11" s="1"/>
  <c r="G140" i="11"/>
  <c r="G152" i="11" s="1"/>
  <c r="H73" i="11"/>
  <c r="K73" i="11"/>
  <c r="J73" i="11"/>
  <c r="I73" i="11"/>
  <c r="H93" i="11"/>
  <c r="I93" i="11"/>
  <c r="K93" i="11"/>
  <c r="J93" i="11"/>
  <c r="H146" i="11"/>
  <c r="H158" i="11" s="1"/>
  <c r="F142" i="11"/>
  <c r="F154" i="11" s="1"/>
  <c r="F144" i="11"/>
  <c r="F156" i="11" s="1"/>
  <c r="H144" i="11"/>
  <c r="H156" i="11" s="1"/>
  <c r="D141" i="11"/>
  <c r="D153" i="11" s="1"/>
  <c r="K68" i="11"/>
  <c r="I68" i="11"/>
  <c r="J68" i="11"/>
  <c r="H68" i="11"/>
  <c r="D146" i="11"/>
  <c r="D158" i="11" s="1"/>
  <c r="D142" i="11"/>
  <c r="D154" i="11" s="1"/>
  <c r="I63" i="8"/>
  <c r="J62" i="8" s="1"/>
  <c r="J61" i="8"/>
  <c r="D34" i="12"/>
  <c r="H34" i="12"/>
  <c r="E34" i="12"/>
  <c r="D18" i="12"/>
  <c r="D151" i="11"/>
  <c r="E159" i="11"/>
  <c r="E22" i="12"/>
  <c r="F155" i="11"/>
  <c r="F20" i="12"/>
  <c r="H159" i="11"/>
  <c r="H22" i="12"/>
  <c r="F151" i="11"/>
  <c r="F18" i="12"/>
  <c r="F159" i="11"/>
  <c r="F22" i="12"/>
  <c r="E151" i="11"/>
  <c r="E18" i="12"/>
  <c r="L81" i="10"/>
  <c r="H111" i="10" s="1"/>
  <c r="I111" i="10" s="1"/>
  <c r="E69" i="8"/>
  <c r="D129" i="8"/>
  <c r="D141" i="8" s="1"/>
  <c r="D135" i="8"/>
  <c r="D147" i="8" s="1"/>
  <c r="D130" i="8"/>
  <c r="D133" i="8"/>
  <c r="D127" i="8"/>
  <c r="D139" i="8" s="1"/>
  <c r="D136" i="8"/>
  <c r="D131" i="8"/>
  <c r="D143" i="8" s="1"/>
  <c r="D132" i="8"/>
  <c r="D128" i="8"/>
  <c r="D134" i="8"/>
  <c r="E72" i="8"/>
  <c r="E132" i="8"/>
  <c r="E133" i="8"/>
  <c r="E136" i="8"/>
  <c r="E134" i="8"/>
  <c r="E129" i="8"/>
  <c r="E141" i="8" s="1"/>
  <c r="E135" i="8"/>
  <c r="E147" i="8" s="1"/>
  <c r="E127" i="8"/>
  <c r="E139" i="8" s="1"/>
  <c r="E130" i="8"/>
  <c r="E128" i="8"/>
  <c r="E131" i="8"/>
  <c r="E143" i="8" s="1"/>
  <c r="E78" i="8"/>
  <c r="F135" i="8"/>
  <c r="F147" i="8" s="1"/>
  <c r="F127" i="8"/>
  <c r="F139" i="8" s="1"/>
  <c r="F136" i="8"/>
  <c r="F132" i="8"/>
  <c r="F130" i="8"/>
  <c r="F133" i="8"/>
  <c r="F128" i="8"/>
  <c r="F131" i="8"/>
  <c r="F143" i="8" s="1"/>
  <c r="F134" i="8"/>
  <c r="F129" i="8"/>
  <c r="F141" i="8" s="1"/>
  <c r="E84" i="8"/>
  <c r="G130" i="8"/>
  <c r="G129" i="8"/>
  <c r="G141" i="8" s="1"/>
  <c r="G135" i="8"/>
  <c r="G147" i="8" s="1"/>
  <c r="G133" i="8"/>
  <c r="G136" i="8"/>
  <c r="G128" i="8"/>
  <c r="G131" i="8"/>
  <c r="G143" i="8" s="1"/>
  <c r="G134" i="8"/>
  <c r="G132" i="8"/>
  <c r="G127" i="8"/>
  <c r="G139" i="8" s="1"/>
  <c r="H133" i="8"/>
  <c r="H131" i="8"/>
  <c r="H143" i="8" s="1"/>
  <c r="H129" i="8"/>
  <c r="H141" i="8" s="1"/>
  <c r="H132" i="8"/>
  <c r="H127" i="8"/>
  <c r="H139" i="8" s="1"/>
  <c r="H136" i="8"/>
  <c r="H128" i="8"/>
  <c r="H134" i="8"/>
  <c r="H135" i="8"/>
  <c r="H147" i="8" s="1"/>
  <c r="H130" i="8"/>
  <c r="E66" i="8"/>
  <c r="E67" i="8"/>
  <c r="E73" i="8"/>
  <c r="E85" i="8"/>
  <c r="E74" i="8"/>
  <c r="E75" i="8"/>
  <c r="L69" i="10"/>
  <c r="D111" i="10" s="1"/>
  <c r="E111" i="10" s="1"/>
  <c r="L73" i="10"/>
  <c r="D115" i="10" s="1"/>
  <c r="E115" i="10" s="1"/>
  <c r="L93" i="10"/>
  <c r="D123" i="10" s="1"/>
  <c r="E123" i="10" s="1"/>
  <c r="L92" i="10"/>
  <c r="D122" i="10" s="1"/>
  <c r="E122" i="10" s="1"/>
  <c r="L72" i="10"/>
  <c r="D114" i="10" s="1"/>
  <c r="E114" i="10" s="1"/>
  <c r="L68" i="10"/>
  <c r="D110" i="10" s="1"/>
  <c r="E110" i="10" s="1"/>
  <c r="L84" i="10"/>
  <c r="H114" i="10" s="1"/>
  <c r="I114" i="10" s="1"/>
  <c r="L66" i="10"/>
  <c r="D108" i="10" s="1"/>
  <c r="E108" i="10" s="1"/>
  <c r="L75" i="10"/>
  <c r="D117" i="10" s="1"/>
  <c r="E117" i="10" s="1"/>
  <c r="L91" i="10"/>
  <c r="L80" i="10"/>
  <c r="H110" i="10" s="1"/>
  <c r="I110" i="10" s="1"/>
  <c r="L90" i="10"/>
  <c r="D120" i="10" s="1"/>
  <c r="E120" i="10" s="1"/>
  <c r="L78" i="10"/>
  <c r="H108" i="10" s="1"/>
  <c r="I108" i="10" s="1"/>
  <c r="L74" i="10"/>
  <c r="D116" i="10" s="1"/>
  <c r="E116" i="10" s="1"/>
  <c r="L67" i="10"/>
  <c r="L87" i="10"/>
  <c r="H117" i="10" s="1"/>
  <c r="I117" i="10" s="1"/>
  <c r="L79" i="10"/>
  <c r="H109" i="10" s="1"/>
  <c r="I109" i="10" s="1"/>
  <c r="L86" i="10"/>
  <c r="H116" i="10" s="1"/>
  <c r="I116" i="10" s="1"/>
  <c r="L85" i="10"/>
  <c r="H115" i="10" s="1"/>
  <c r="I115" i="10" s="1"/>
  <c r="E79" i="8"/>
  <c r="E81" i="8"/>
  <c r="E80" i="8"/>
  <c r="E93" i="8"/>
  <c r="E91" i="8"/>
  <c r="E92" i="8"/>
  <c r="E90" i="8"/>
  <c r="E87" i="8"/>
  <c r="E86" i="8"/>
  <c r="E68" i="8"/>
  <c r="F153" i="11" l="1"/>
  <c r="L81" i="11"/>
  <c r="H111" i="11" s="1"/>
  <c r="I111" i="11" s="1"/>
  <c r="D20" i="12"/>
  <c r="L68" i="11"/>
  <c r="D110" i="11" s="1"/>
  <c r="E110" i="11" s="1"/>
  <c r="L86" i="11"/>
  <c r="H116" i="11" s="1"/>
  <c r="I116" i="11" s="1"/>
  <c r="L74" i="11"/>
  <c r="L78" i="11"/>
  <c r="H108" i="11" s="1"/>
  <c r="I108" i="11" s="1"/>
  <c r="L93" i="11"/>
  <c r="D123" i="11" s="1"/>
  <c r="E123" i="11" s="1"/>
  <c r="L90" i="11"/>
  <c r="D120" i="11" s="1"/>
  <c r="E120" i="11" s="1"/>
  <c r="L67" i="11"/>
  <c r="D109" i="11" s="1"/>
  <c r="E109" i="11" s="1"/>
  <c r="D19" i="12"/>
  <c r="L73" i="11"/>
  <c r="D115" i="11" s="1"/>
  <c r="E115" i="11" s="1"/>
  <c r="F21" i="12"/>
  <c r="L75" i="11"/>
  <c r="Q111" i="11"/>
  <c r="F36" i="12" s="1"/>
  <c r="L79" i="11"/>
  <c r="H109" i="11" s="1"/>
  <c r="I109" i="11" s="1"/>
  <c r="D21" i="12"/>
  <c r="O111" i="11"/>
  <c r="D36" i="12" s="1"/>
  <c r="L69" i="11"/>
  <c r="D111" i="11" s="1"/>
  <c r="E111" i="11" s="1"/>
  <c r="H157" i="11"/>
  <c r="H36" i="12" s="1"/>
  <c r="H21" i="12"/>
  <c r="L80" i="11"/>
  <c r="H110" i="11" s="1"/>
  <c r="I110" i="11" s="1"/>
  <c r="L84" i="11"/>
  <c r="H114" i="11" s="1"/>
  <c r="I114" i="11" s="1"/>
  <c r="L66" i="11"/>
  <c r="D108" i="11" s="1"/>
  <c r="E108" i="11" s="1"/>
  <c r="L92" i="11"/>
  <c r="D122" i="11" s="1"/>
  <c r="E122" i="11" s="1"/>
  <c r="G157" i="11"/>
  <c r="G21" i="12"/>
  <c r="L91" i="11"/>
  <c r="D121" i="11" s="1"/>
  <c r="E121" i="11" s="1"/>
  <c r="L85" i="11"/>
  <c r="H115" i="11" s="1"/>
  <c r="I115" i="11" s="1"/>
  <c r="J59" i="8"/>
  <c r="J60" i="8"/>
  <c r="I67" i="8"/>
  <c r="K67" i="8"/>
  <c r="J67" i="8"/>
  <c r="H67" i="8"/>
  <c r="H146" i="8"/>
  <c r="H158" i="8" s="1"/>
  <c r="E142" i="8"/>
  <c r="E154" i="8" s="1"/>
  <c r="D142" i="8"/>
  <c r="D154" i="8" s="1"/>
  <c r="H140" i="8"/>
  <c r="H152" i="8" s="1"/>
  <c r="G142" i="8"/>
  <c r="G154" i="8" s="1"/>
  <c r="F144" i="8"/>
  <c r="F156" i="8" s="1"/>
  <c r="H81" i="8"/>
  <c r="J81" i="8"/>
  <c r="K81" i="8"/>
  <c r="I81" i="8"/>
  <c r="G146" i="8"/>
  <c r="G158" i="8" s="1"/>
  <c r="K86" i="8"/>
  <c r="I86" i="8"/>
  <c r="J86" i="8"/>
  <c r="H86" i="8"/>
  <c r="I69" i="8"/>
  <c r="H69" i="8"/>
  <c r="J69" i="8"/>
  <c r="K69" i="8"/>
  <c r="I87" i="8"/>
  <c r="J87" i="8"/>
  <c r="H87" i="8"/>
  <c r="K87" i="8"/>
  <c r="I75" i="8"/>
  <c r="J75" i="8"/>
  <c r="H75" i="8"/>
  <c r="K75" i="8"/>
  <c r="H144" i="8"/>
  <c r="H156" i="8" s="1"/>
  <c r="G140" i="8"/>
  <c r="G152" i="8" s="1"/>
  <c r="F146" i="8"/>
  <c r="F158" i="8" s="1"/>
  <c r="E146" i="8"/>
  <c r="E158" i="8" s="1"/>
  <c r="K90" i="8"/>
  <c r="I90" i="8"/>
  <c r="J90" i="8"/>
  <c r="H90" i="8"/>
  <c r="L90" i="8" s="1"/>
  <c r="K74" i="8"/>
  <c r="H74" i="8"/>
  <c r="J74" i="8"/>
  <c r="I74" i="8"/>
  <c r="G148" i="8"/>
  <c r="G160" i="8" s="1"/>
  <c r="K78" i="8"/>
  <c r="J78" i="8"/>
  <c r="I78" i="8"/>
  <c r="H78" i="8"/>
  <c r="E148" i="8"/>
  <c r="E160" i="8" s="1"/>
  <c r="D148" i="8"/>
  <c r="D160" i="8" s="1"/>
  <c r="I93" i="8"/>
  <c r="K93" i="8"/>
  <c r="J93" i="8"/>
  <c r="H93" i="8"/>
  <c r="F142" i="8"/>
  <c r="F154" i="8" s="1"/>
  <c r="I72" i="8"/>
  <c r="H72" i="8"/>
  <c r="K72" i="8"/>
  <c r="J72" i="8"/>
  <c r="J80" i="8"/>
  <c r="H80" i="8"/>
  <c r="K80" i="8"/>
  <c r="I80" i="8"/>
  <c r="I66" i="8"/>
  <c r="J66" i="8"/>
  <c r="H66" i="8"/>
  <c r="K66" i="8"/>
  <c r="G144" i="8"/>
  <c r="G156" i="8" s="1"/>
  <c r="D146" i="8"/>
  <c r="D158" i="8" s="1"/>
  <c r="K68" i="8"/>
  <c r="J68" i="8"/>
  <c r="I68" i="8"/>
  <c r="H68" i="8"/>
  <c r="H148" i="8"/>
  <c r="H160" i="8" s="1"/>
  <c r="K84" i="8"/>
  <c r="J84" i="8"/>
  <c r="I84" i="8"/>
  <c r="H84" i="8"/>
  <c r="F148" i="8"/>
  <c r="F160" i="8" s="1"/>
  <c r="D140" i="8"/>
  <c r="D152" i="8" s="1"/>
  <c r="H79" i="8"/>
  <c r="K79" i="8"/>
  <c r="J79" i="8"/>
  <c r="I79" i="8"/>
  <c r="D144" i="8"/>
  <c r="D156" i="8" s="1"/>
  <c r="J92" i="8"/>
  <c r="K92" i="8"/>
  <c r="I92" i="8"/>
  <c r="H92" i="8"/>
  <c r="J85" i="8"/>
  <c r="H85" i="8"/>
  <c r="K85" i="8"/>
  <c r="I85" i="8"/>
  <c r="H142" i="8"/>
  <c r="H154" i="8" s="1"/>
  <c r="G145" i="8"/>
  <c r="R112" i="8" s="1"/>
  <c r="F140" i="8"/>
  <c r="F152" i="8" s="1"/>
  <c r="E145" i="8"/>
  <c r="P112" i="8" s="1"/>
  <c r="H91" i="8"/>
  <c r="K91" i="8"/>
  <c r="J91" i="8"/>
  <c r="I91" i="8"/>
  <c r="I73" i="8"/>
  <c r="K73" i="8"/>
  <c r="H73" i="8"/>
  <c r="J73" i="8"/>
  <c r="H145" i="8"/>
  <c r="S112" i="8" s="1"/>
  <c r="F145" i="8"/>
  <c r="Q112" i="8" s="1"/>
  <c r="E140" i="8"/>
  <c r="E152" i="8" s="1"/>
  <c r="E144" i="8"/>
  <c r="E156" i="8" s="1"/>
  <c r="D145" i="8"/>
  <c r="D116" i="11"/>
  <c r="E116" i="11" s="1"/>
  <c r="D121" i="10"/>
  <c r="E121" i="10" s="1"/>
  <c r="H155" i="8"/>
  <c r="H13" i="12"/>
  <c r="E155" i="8"/>
  <c r="E13" i="12"/>
  <c r="D151" i="8"/>
  <c r="D11" i="12"/>
  <c r="H159" i="8"/>
  <c r="H15" i="12"/>
  <c r="G159" i="8"/>
  <c r="G15" i="12"/>
  <c r="G151" i="8"/>
  <c r="G11" i="12"/>
  <c r="G153" i="8"/>
  <c r="G12" i="12"/>
  <c r="D155" i="8"/>
  <c r="D13" i="12"/>
  <c r="E151" i="8"/>
  <c r="E11" i="12"/>
  <c r="D159" i="8"/>
  <c r="D15" i="12"/>
  <c r="F159" i="8"/>
  <c r="F15" i="12"/>
  <c r="F155" i="8"/>
  <c r="F13" i="12"/>
  <c r="E159" i="8"/>
  <c r="E15" i="12"/>
  <c r="D153" i="8"/>
  <c r="D12" i="12"/>
  <c r="H153" i="8"/>
  <c r="H12" i="12"/>
  <c r="H151" i="8"/>
  <c r="H11" i="12"/>
  <c r="G155" i="8"/>
  <c r="G13" i="12"/>
  <c r="F153" i="8"/>
  <c r="F12" i="12"/>
  <c r="F151" i="8"/>
  <c r="F11" i="12"/>
  <c r="E153" i="8"/>
  <c r="E12" i="12"/>
  <c r="D117" i="11"/>
  <c r="E117" i="11" s="1"/>
  <c r="D109" i="10"/>
  <c r="E109" i="10" s="1"/>
  <c r="D157" i="8" l="1"/>
  <c r="O112" i="8"/>
  <c r="L67" i="8"/>
  <c r="G14" i="12"/>
  <c r="J63" i="8"/>
  <c r="L93" i="8"/>
  <c r="D124" i="8" s="1"/>
  <c r="E124" i="8" s="1"/>
  <c r="L78" i="8"/>
  <c r="H109" i="8" s="1"/>
  <c r="I109" i="8" s="1"/>
  <c r="L74" i="8"/>
  <c r="D117" i="8" s="1"/>
  <c r="E117" i="8" s="1"/>
  <c r="L86" i="8"/>
  <c r="H117" i="8" s="1"/>
  <c r="I117" i="8" s="1"/>
  <c r="L79" i="8"/>
  <c r="G157" i="8"/>
  <c r="F14" i="12"/>
  <c r="F157" i="8"/>
  <c r="G35" i="12"/>
  <c r="E14" i="12"/>
  <c r="F35" i="12"/>
  <c r="L91" i="8"/>
  <c r="D122" i="8" s="1"/>
  <c r="E122" i="8" s="1"/>
  <c r="L80" i="8"/>
  <c r="E157" i="8"/>
  <c r="E35" i="12" s="1"/>
  <c r="H14" i="12"/>
  <c r="L85" i="8"/>
  <c r="H116" i="8" s="1"/>
  <c r="I116" i="8" s="1"/>
  <c r="L84" i="8"/>
  <c r="H115" i="8" s="1"/>
  <c r="I115" i="8" s="1"/>
  <c r="L68" i="8"/>
  <c r="D111" i="8" s="1"/>
  <c r="E111" i="8" s="1"/>
  <c r="L72" i="8"/>
  <c r="D115" i="8" s="1"/>
  <c r="E115" i="8" s="1"/>
  <c r="D35" i="12"/>
  <c r="L92" i="8"/>
  <c r="D123" i="8" s="1"/>
  <c r="E123" i="8" s="1"/>
  <c r="L66" i="8"/>
  <c r="D109" i="8" s="1"/>
  <c r="E109" i="8" s="1"/>
  <c r="H157" i="8"/>
  <c r="H35" i="12" s="1"/>
  <c r="L73" i="8"/>
  <c r="D116" i="8" s="1"/>
  <c r="E116" i="8" s="1"/>
  <c r="D14" i="12"/>
  <c r="L69" i="8"/>
  <c r="D112" i="8" s="1"/>
  <c r="E112" i="8" s="1"/>
  <c r="L75" i="8"/>
  <c r="D118" i="8" s="1"/>
  <c r="E118" i="8" s="1"/>
  <c r="L87" i="8"/>
  <c r="H118" i="8" s="1"/>
  <c r="I118" i="8" s="1"/>
  <c r="L81" i="8"/>
  <c r="H111" i="8"/>
  <c r="I111" i="8" s="1"/>
  <c r="D110" i="8"/>
  <c r="E110" i="8" s="1"/>
  <c r="H110" i="8"/>
  <c r="I110" i="8" s="1"/>
  <c r="H112" i="8"/>
  <c r="I112" i="8" s="1"/>
  <c r="D121" i="8"/>
  <c r="E12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tc={51ED491F-EB37-4417-AC95-03962BF90DD4}</author>
    <author>tc={0D1189DD-9D1B-4AE6-ADEA-EAD563A12522}</author>
    <author>tc={581E4EFF-E8DA-4657-9D21-7B95B87BA775}</author>
    <author>tc={785870B0-CAAC-4A1A-A602-1F2A0E380256}</author>
  </authors>
  <commentList>
    <comment ref="D2" authorId="0" shapeId="0" xr:uid="{51ED491F-EB37-4417-AC95-03962BF90DD4}">
      <text>
        <t>[Kommenttiketju]
Excel-versiosi avulla voit lukea tämän kommenttiketjun, mutta siihen tehdyt muutokset poistetaan, jos tiedosto avataan uudemmassa Excel-versiossa. Lisätietoja: https://go.microsoft.com/fwlink/?linkid=870924
Kommentti:
    Raja-arvot metsätuhkalannoitteeksi</t>
      </text>
    </comment>
    <comment ref="E2" authorId="1" shapeId="0" xr:uid="{0D1189DD-9D1B-4AE6-ADEA-EAD563A12522}">
      <text>
        <t>[Kommenttiketju]
Excel-versiosi avulla voit lukea tämän kommenttiketjun, mutta siihen tehdyt muutokset poistetaan, jos tiedosto avataan uudemmassa Excel-versiossa. Lisätietoja: https://go.microsoft.com/fwlink/?linkid=870924
Kommentti:
    Raja-arvot epäorgaaniseksi lannoitteeksi</t>
      </text>
    </comment>
    <comment ref="E13" authorId="2" shapeId="0" xr:uid="{581E4EFF-E8DA-4657-9D21-7B95B87BA775}">
      <text>
        <t>[Kommenttiketju]
Excel-versiosi avulla voit lukea tämän kommenttiketjun, mutta siihen tehdyt muutokset poistetaan, jos tiedosto avataan uudemmassa Excel-versiossa. Lisätietoja: https://go.microsoft.com/fwlink/?linkid=870924
Kommentti:
    Metsätuhkalannoite</t>
      </text>
    </comment>
    <comment ref="F13" authorId="3" shapeId="0" xr:uid="{785870B0-CAAC-4A1A-A602-1F2A0E380256}">
      <text>
        <t>[Kommenttiketju]
Excel-versiosi avulla voit lukea tämän kommenttiketjun, mutta siihen tehdyt muutokset poistetaan, jos tiedosto avataan uudemmassa Excel-versiossa. Lisätietoja: https://go.microsoft.com/fwlink/?linkid=870924
Kommentti:
    Orgaaninen lannoite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tc={449D34D2-891E-4D51-99C2-932C5481D554}</author>
    <author>tc={FE1BB789-7FF9-493A-9719-257193DF6B16}</author>
    <author>tc={E0F0B02E-4A99-4287-9055-06B928FD3B3A}</author>
    <author>tc={3A8E7261-71B3-488B-9B4E-0ABFD253ED7A}</author>
  </authors>
  <commentList>
    <comment ref="D2" authorId="0" shapeId="0" xr:uid="{449D34D2-891E-4D51-99C2-932C5481D554}">
      <text>
        <t>[Kommenttiketju]
Excel-versiosi avulla voit lukea tämän kommenttiketjun, mutta siihen tehdyt muutokset poistetaan, jos tiedosto avataan uudemmassa Excel-versiossa. Lisätietoja: https://go.microsoft.com/fwlink/?linkid=870924
Kommentti:
    Raja-arvot metsälannoitteelle</t>
      </text>
    </comment>
    <comment ref="E2" authorId="1" shapeId="0" xr:uid="{FE1BB789-7FF9-493A-9719-257193DF6B16}">
      <text>
        <t>[Kommenttiketju]
Excel-versiosi avulla voit lukea tämän kommenttiketjun, mutta siihen tehdyt muutokset poistetaan, jos tiedosto avataan uudemmassa Excel-versiossa. Lisätietoja: https://go.microsoft.com/fwlink/?linkid=870924
Kommentti:
    Raja-arvot epäorgaaniseksi lannoitteeksi</t>
      </text>
    </comment>
    <comment ref="E13" authorId="2" shapeId="0" xr:uid="{E0F0B02E-4A99-4287-9055-06B928FD3B3A}">
      <text>
        <t>[Kommenttiketju]
Excel-versiosi avulla voit lukea tämän kommenttiketjun, mutta siihen tehdyt muutokset poistetaan, jos tiedosto avataan uudemmassa Excel-versiossa. Lisätietoja: https://go.microsoft.com/fwlink/?linkid=870924
Kommentti:
    Metsätuhkalannoite</t>
      </text>
    </comment>
    <comment ref="F13" authorId="3" shapeId="0" xr:uid="{3A8E7261-71B3-488B-9B4E-0ABFD253ED7A}">
      <text>
        <t>[Kommenttiketju]
Excel-versiosi avulla voit lukea tämän kommenttiketjun, mutta siihen tehdyt muutokset poistetaan, jos tiedosto avataan uudemmassa Excel-versiossa. Lisätietoja: https://go.microsoft.com/fwlink/?linkid=870924
Kommentti:
    Orgaaninen lannoite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tc={53573A03-BAB7-4F2E-AAFA-D919A8DDE0E7}</author>
    <author>tc={92EDA274-7D0E-4CD1-BE15-E83D8AC3A221}</author>
    <author>tc={B2DB77FF-C350-4326-B2FC-EBFFEE7CF6E6}</author>
    <author>tc={FC4F6C6D-FF30-4C08-8384-7708728808F1}</author>
  </authors>
  <commentList>
    <comment ref="D2" authorId="0" shapeId="0" xr:uid="{53573A03-BAB7-4F2E-AAFA-D919A8DDE0E7}">
      <text>
        <t>[Kommenttiketju]
Excel-versiosi avulla voit lukea tämän kommenttiketjun, mutta siihen tehdyt muutokset poistetaan, jos tiedosto avataan uudemmassa Excel-versiossa. Lisätietoja: https://go.microsoft.com/fwlink/?linkid=870924
Kommentti:
    Raja-arvot metsätuhkalannoitteeksi</t>
      </text>
    </comment>
    <comment ref="E2" authorId="1" shapeId="0" xr:uid="{92EDA274-7D0E-4CD1-BE15-E83D8AC3A221}">
      <text>
        <t>[Kommenttiketju]
Excel-versiosi avulla voit lukea tämän kommenttiketjun, mutta siihen tehdyt muutokset poistetaan, jos tiedosto avataan uudemmassa Excel-versiossa. Lisätietoja: https://go.microsoft.com/fwlink/?linkid=870924
Kommentti:
    Raja-arvot epäorgaaniseksi lannoitteeksi</t>
      </text>
    </comment>
    <comment ref="E13" authorId="2" shapeId="0" xr:uid="{B2DB77FF-C350-4326-B2FC-EBFFEE7CF6E6}">
      <text>
        <t>[Kommenttiketju]
Excel-versiosi avulla voit lukea tämän kommenttiketjun, mutta siihen tehdyt muutokset poistetaan, jos tiedosto avataan uudemmassa Excel-versiossa. Lisätietoja: https://go.microsoft.com/fwlink/?linkid=870924
Kommentti:
    Metsätuhkalannoite</t>
      </text>
    </comment>
    <comment ref="F13" authorId="3" shapeId="0" xr:uid="{FC4F6C6D-FF30-4C08-8384-7708728808F1}">
      <text>
        <t>[Kommenttiketju]
Excel-versiosi avulla voit lukea tämän kommenttiketjun, mutta siihen tehdyt muutokset poistetaan, jos tiedosto avataan uudemmassa Excel-versiossa. Lisätietoja: https://go.microsoft.com/fwlink/?linkid=870924
Kommentti:
    Orgaaninen lannoite</t>
      </text>
    </comment>
  </commentList>
</comments>
</file>

<file path=xl/sharedStrings.xml><?xml version="1.0" encoding="utf-8"?>
<sst xmlns="http://schemas.openxmlformats.org/spreadsheetml/2006/main" count="1034" uniqueCount="172">
  <si>
    <t>Polttoaineen kosteus</t>
  </si>
  <si>
    <t>-</t>
  </si>
  <si>
    <t>C</t>
  </si>
  <si>
    <t>S</t>
  </si>
  <si>
    <t>yht.</t>
  </si>
  <si>
    <t>Reagoimattomat</t>
  </si>
  <si>
    <t>O</t>
  </si>
  <si>
    <t>Na</t>
  </si>
  <si>
    <t>Cl</t>
  </si>
  <si>
    <t>K</t>
  </si>
  <si>
    <t>Raskasmetallit</t>
  </si>
  <si>
    <t>%</t>
  </si>
  <si>
    <t>Lentotuhkan elementaarianalyysi</t>
  </si>
  <si>
    <t>kg/s</t>
  </si>
  <si>
    <t>kg/m3</t>
  </si>
  <si>
    <t>Syötetyn polttoaineen määrä</t>
  </si>
  <si>
    <t>l/s</t>
  </si>
  <si>
    <t>As</t>
  </si>
  <si>
    <t>Hg</t>
  </si>
  <si>
    <t>Cd</t>
  </si>
  <si>
    <t>Ni</t>
  </si>
  <si>
    <t>Pb</t>
  </si>
  <si>
    <t>Cu</t>
  </si>
  <si>
    <t>Cr</t>
  </si>
  <si>
    <t>Zn</t>
  </si>
  <si>
    <t>Se</t>
  </si>
  <si>
    <t>Lentotuhkan raskasmetallianalyysi</t>
  </si>
  <si>
    <t>Muut</t>
  </si>
  <si>
    <t>Syntyvä kaliumin määrä</t>
  </si>
  <si>
    <t>g/s</t>
  </si>
  <si>
    <t>Tunnissa</t>
  </si>
  <si>
    <t>Vuorokaudessa</t>
  </si>
  <si>
    <t>kg</t>
  </si>
  <si>
    <t>Polttoaineen tiheys</t>
  </si>
  <si>
    <t>Syntyvän tuhkan määrä</t>
  </si>
  <si>
    <t>Saanto eri teknologioilla:</t>
  </si>
  <si>
    <t>Liuotus</t>
  </si>
  <si>
    <t>Jäädytyskiteytys</t>
  </si>
  <si>
    <t>Kaksi vaiheinen liuotus</t>
  </si>
  <si>
    <t>Haihdutuskiteytys</t>
  </si>
  <si>
    <t>Syntyvä natriumin määrä</t>
  </si>
  <si>
    <t>Lähde:</t>
  </si>
  <si>
    <t>Teoria</t>
  </si>
  <si>
    <t>Na-talteenotto eri teknologioilla:</t>
  </si>
  <si>
    <t>NaOH Na-pitoisuus</t>
  </si>
  <si>
    <t>NaOH säästö:</t>
  </si>
  <si>
    <t>€</t>
  </si>
  <si>
    <t>NaOH 50% hinta</t>
  </si>
  <si>
    <t>€/t</t>
  </si>
  <si>
    <t>t</t>
  </si>
  <si>
    <t>Näiden jälkeen saanto liuotetusta tuhkasta:</t>
  </si>
  <si>
    <t>MER zeolite membrane</t>
  </si>
  <si>
    <t>MER zeolite membrane *</t>
  </si>
  <si>
    <t>Näiden saanto liuotuksesta:</t>
  </si>
  <si>
    <t>Näiden saanto kaksivaiheisesta liuotuksesta:</t>
  </si>
  <si>
    <t>Näiden saanto haihdutuskiteytyksestä:</t>
  </si>
  <si>
    <t>https://businessanalytiq.com/procurementanalytics/index/potassium-hydroxide-price-index/</t>
  </si>
  <si>
    <t>KOH-hinta</t>
  </si>
  <si>
    <t>Näiden saanto jäädytyskiteytyksestä:</t>
  </si>
  <si>
    <t>* oletettu parempi saanto</t>
  </si>
  <si>
    <t>korkeammalla K-pitoisuudella</t>
  </si>
  <si>
    <t>Pan et al. (liuotus, uutto, elektrolyysi)</t>
  </si>
  <si>
    <t>Kaliumista saatava hinta eri tapauksissa, valikoitu kaksi korkeimman tuoton tuottavaa yhdistelmää, eli</t>
  </si>
  <si>
    <t>Mer zeolite membrane * ja Pan et al. (liuotus, uutto ja elektrolyysi)</t>
  </si>
  <si>
    <t>Kaksivaiheinen liuotus</t>
  </si>
  <si>
    <t>h</t>
  </si>
  <si>
    <t>vrk</t>
  </si>
  <si>
    <t>Vrk (€)</t>
  </si>
  <si>
    <t>Vuodessa (€)</t>
  </si>
  <si>
    <t>Syntyviä kuluja:</t>
  </si>
  <si>
    <t>Laitteisto</t>
  </si>
  <si>
    <t>Energia</t>
  </si>
  <si>
    <t>Käyttökulut (15%)</t>
  </si>
  <si>
    <t>Alkuinvestointi</t>
  </si>
  <si>
    <t>Vuosittain</t>
  </si>
  <si>
    <t>Diskonttauskorko</t>
  </si>
  <si>
    <t>Käyttöikä</t>
  </si>
  <si>
    <t>v</t>
  </si>
  <si>
    <t>Yhteensä</t>
  </si>
  <si>
    <t>Sähkön hinta</t>
  </si>
  <si>
    <t>https://www.porssisahkoa.fi/porssisahko-keskihinta</t>
  </si>
  <si>
    <t>€/MWh/alv 0%</t>
  </si>
  <si>
    <t>KCl-hinta</t>
  </si>
  <si>
    <t>K2CO3-hinta</t>
  </si>
  <si>
    <t>https://businessanalytiq.com/procurementanalytics/index/potassium-carbonate-price-index/</t>
  </si>
  <si>
    <t>K2SO4-hinta</t>
  </si>
  <si>
    <t>Huipunkäyttöaika sellutehdas</t>
  </si>
  <si>
    <t>Tuhkassa kaliumyhdisteitä:</t>
  </si>
  <si>
    <t>KOH</t>
  </si>
  <si>
    <t>KCl</t>
  </si>
  <si>
    <t>K2CO3</t>
  </si>
  <si>
    <t>K2SO4</t>
  </si>
  <si>
    <t>Yhteensä (€)</t>
  </si>
  <si>
    <t>Laskelmat, jos kaliumsuolat myytäisiin:</t>
  </si>
  <si>
    <t>Kuljetuskustannus</t>
  </si>
  <si>
    <t>Kuljetus</t>
  </si>
  <si>
    <t xml:space="preserve">Ivalo-Inari kuljetus </t>
  </si>
  <si>
    <t>km</t>
  </si>
  <si>
    <t>https://www.logistiikanmaailma.fi/aineistot/logistiikan-taidot/esimerkkitapauksia/</t>
  </si>
  <si>
    <t>€/t/250km</t>
  </si>
  <si>
    <t>Laitteistosta</t>
  </si>
  <si>
    <t>Referenssi ilman muuttuvia kuluja</t>
  </si>
  <si>
    <t>Vaihe 1</t>
  </si>
  <si>
    <t>Vaihe 2</t>
  </si>
  <si>
    <t>Vaihe 3</t>
  </si>
  <si>
    <t>Vaihe 4</t>
  </si>
  <si>
    <t>Nämä laskelmat eivät kuulu työhön, mutta havainnollistavat talteenoton merkitystä</t>
  </si>
  <si>
    <t>€/t/100km</t>
  </si>
  <si>
    <t>Kuinka paljon investointi saa maksimissaan olla, jotta saavutetaan haluttu takaisinmaksuaika?</t>
  </si>
  <si>
    <t>Takaisinmaksuaika</t>
  </si>
  <si>
    <t>Näiden saanto ioninvaihdolla:</t>
  </si>
  <si>
    <t>Ioninvaihto</t>
  </si>
  <si>
    <t>Pan et al.(liuotus, uutto, elektrolyysi)</t>
  </si>
  <si>
    <t>mg/kg</t>
  </si>
  <si>
    <t>Raja-arvo ok?</t>
  </si>
  <si>
    <t>Raskasmetallien rajat lannoitteissa</t>
  </si>
  <si>
    <t>SO4(2-)</t>
  </si>
  <si>
    <t>CO3(2-)</t>
  </si>
  <si>
    <t>SO4 (2-)</t>
  </si>
  <si>
    <t>CO3 (2-)</t>
  </si>
  <si>
    <t>Maksimi-investointi</t>
  </si>
  <si>
    <t>Zhong et al. (liuotus ja kuivatus)</t>
  </si>
  <si>
    <t>Kaliumin saanto:</t>
  </si>
  <si>
    <t>Laskelmat myynnille vuodessa</t>
  </si>
  <si>
    <t>Vaihe 5</t>
  </si>
  <si>
    <t>Tehdas A</t>
  </si>
  <si>
    <t>Tehdas B</t>
  </si>
  <si>
    <t>Tehdas C</t>
  </si>
  <si>
    <t>Liuotus [€]</t>
  </si>
  <si>
    <t>Kaksivaiheinen liuotus [€]</t>
  </si>
  <si>
    <t>Haihdutuskiteytys [€]</t>
  </si>
  <si>
    <t>Jäädytyskiteytys [€]</t>
  </si>
  <si>
    <t>Ioninvaihto [€]</t>
  </si>
  <si>
    <t>Liuotus [kg]</t>
  </si>
  <si>
    <t>Kaksi vaiheinen liuotus [kg]</t>
  </si>
  <si>
    <t>Haihdutuskiteytys [kg]</t>
  </si>
  <si>
    <t>Ioninvaihto [kg]</t>
  </si>
  <si>
    <t>Maksimi-investoinnin alkuarvot</t>
  </si>
  <si>
    <t>Oletukset: kaliumista 70% saadaan talteen, käyttöikä 10v. Muuttuvia kustannuksia ei oteta huomioon, koska eivät ole tiedossa</t>
  </si>
  <si>
    <t>Myynti:</t>
  </si>
  <si>
    <t>Syntyvä tuhkan määrä</t>
  </si>
  <si>
    <t>Maksimi-investointi, jos: kaliumista 70% saadaan talteen, käyttöikä 10v. Muuttuvia kustannuksia ei oteta huomioon, koska eivät ole tiedossa</t>
  </si>
  <si>
    <t>https://businessanalytiq.com/procurementanalytics/index/potassium-sulfate-price-index/</t>
  </si>
  <si>
    <t>https://businessanalytiq.com/procurementanalytics/index/potassium-chloride-price-index/</t>
  </si>
  <si>
    <t>KOH [%]</t>
  </si>
  <si>
    <t>KCl [%]</t>
  </si>
  <si>
    <t>K2CO3 [%]</t>
  </si>
  <si>
    <t>K2SO4 [%]</t>
  </si>
  <si>
    <t>Teknologia</t>
  </si>
  <si>
    <t>Referenssi kuluista ilman muuttuvia kuluja</t>
  </si>
  <si>
    <t>Yksikkö</t>
  </si>
  <si>
    <t>Vaihe  6</t>
  </si>
  <si>
    <t>Vaihe 6</t>
  </si>
  <si>
    <t>Syntyvä tuhka [kg/vrk]</t>
  </si>
  <si>
    <t>Syntyvän kaliumin kaliumyhdisteiden jako:</t>
  </si>
  <si>
    <t>M (kg/mol)</t>
  </si>
  <si>
    <t>m(kg)</t>
  </si>
  <si>
    <t>Kaliumin massa ja massaprosentit kussakin yhdisteessä:</t>
  </si>
  <si>
    <t>Kunkin kaliumyhdisteen määrä:</t>
  </si>
  <si>
    <t>m (kg)</t>
  </si>
  <si>
    <t>K m-%</t>
  </si>
  <si>
    <t>m-osuus</t>
  </si>
  <si>
    <t>KOH [kg]</t>
  </si>
  <si>
    <t>KCl [kg]</t>
  </si>
  <si>
    <t>K2CO3 [kg]</t>
  </si>
  <si>
    <t>K2SO4 [kg]</t>
  </si>
  <si>
    <t>kg/h</t>
  </si>
  <si>
    <t>kg/vrk</t>
  </si>
  <si>
    <t>Bruttomyynti [milj. €]</t>
  </si>
  <si>
    <t xml:space="preserve">0,9 -  4,0 </t>
  </si>
  <si>
    <t>1,5 - 6,6</t>
  </si>
  <si>
    <t>1,2 - 5,2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</si>
</sst>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0.000"/>
  </numFmts>
  <fonts count="9" x14ac:knownFonts="1">
    <font>
      <sz val="11"/>
      <color theme="1"/>
      <name val="Aptos Narrow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u/>
      <sz val="11"/>
      <color theme="1"/>
      <name val="Arial"/>
      <family val="2"/>
    </font>
    <font>
      <b/>
      <u/>
      <sz val="14"/>
      <color theme="1"/>
      <name val="Arial"/>
      <family val="2"/>
    </font>
    <font>
      <sz val="8"/>
      <name val="Aptos Narrow"/>
      <family val="2"/>
      <scheme val="minor"/>
    </font>
    <font>
      <b/>
      <u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0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2" fillId="2" borderId="8" xfId="0" applyFont="1" applyFill="1" applyBorder="1"/>
    <xf numFmtId="0" fontId="3" fillId="2" borderId="11" xfId="0" applyFont="1" applyFill="1" applyBorder="1"/>
    <xf numFmtId="0" fontId="3" fillId="2" borderId="12" xfId="0" applyFont="1" applyFill="1" applyBorder="1"/>
    <xf numFmtId="0" fontId="1" fillId="2" borderId="3" xfId="0" applyFont="1" applyFill="1" applyBorder="1" applyAlignment="1">
      <alignment horizontal="left" vertical="center"/>
    </xf>
    <xf numFmtId="0" fontId="3" fillId="2" borderId="4" xfId="0" applyFont="1" applyFill="1" applyBorder="1"/>
    <xf numFmtId="0" fontId="1" fillId="2" borderId="9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2" xfId="0" applyFont="1" applyFill="1" applyBorder="1"/>
    <xf numFmtId="0" fontId="1" fillId="2" borderId="0" xfId="0" applyFont="1" applyFill="1"/>
    <xf numFmtId="0" fontId="1" fillId="2" borderId="3" xfId="0" applyFont="1" applyFill="1" applyBorder="1" applyAlignment="1">
      <alignment wrapText="1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3" fillId="2" borderId="6" xfId="0" applyFont="1" applyFill="1" applyBorder="1"/>
    <xf numFmtId="0" fontId="3" fillId="2" borderId="7" xfId="0" applyFont="1" applyFill="1" applyBorder="1"/>
    <xf numFmtId="0" fontId="1" fillId="2" borderId="5" xfId="0" applyFont="1" applyFill="1" applyBorder="1" applyAlignment="1">
      <alignment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>
      <alignment horizontal="center"/>
    </xf>
    <xf numFmtId="2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1" fillId="2" borderId="9" xfId="0" applyFont="1" applyFill="1" applyBorder="1"/>
    <xf numFmtId="0" fontId="1" fillId="2" borderId="2" xfId="0" applyFont="1" applyFill="1" applyBorder="1" applyAlignment="1">
      <alignment horizontal="center" vertical="center"/>
    </xf>
    <xf numFmtId="0" fontId="3" fillId="2" borderId="3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/>
    <xf numFmtId="0" fontId="3" fillId="3" borderId="9" xfId="0" applyFont="1" applyFill="1" applyBorder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/>
    <xf numFmtId="0" fontId="3" fillId="3" borderId="0" xfId="0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4" xfId="0" applyFont="1" applyFill="1" applyBorder="1" applyAlignment="1">
      <alignment horizontal="center"/>
    </xf>
    <xf numFmtId="164" fontId="3" fillId="3" borderId="4" xfId="0" applyNumberFormat="1" applyFont="1" applyFill="1" applyBorder="1" applyAlignment="1">
      <alignment horizontal="center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7" xfId="0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5" xfId="0" applyNumberFormat="1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9" xfId="0" applyFont="1" applyFill="1" applyBorder="1"/>
    <xf numFmtId="0" fontId="3" fillId="2" borderId="5" xfId="0" applyFont="1" applyFill="1" applyBorder="1"/>
    <xf numFmtId="0" fontId="5" fillId="2" borderId="9" xfId="0" applyFont="1" applyFill="1" applyBorder="1"/>
    <xf numFmtId="0" fontId="5" fillId="2" borderId="1" xfId="0" applyFont="1" applyFill="1" applyBorder="1"/>
    <xf numFmtId="1" fontId="3" fillId="2" borderId="0" xfId="0" applyNumberFormat="1" applyFont="1" applyFill="1"/>
    <xf numFmtId="1" fontId="3" fillId="2" borderId="6" xfId="0" applyNumberFormat="1" applyFont="1" applyFill="1" applyBorder="1"/>
    <xf numFmtId="0" fontId="3" fillId="3" borderId="1" xfId="0" applyFont="1" applyFill="1" applyBorder="1"/>
    <xf numFmtId="0" fontId="5" fillId="3" borderId="9" xfId="0" applyFont="1" applyFill="1" applyBorder="1"/>
    <xf numFmtId="0" fontId="3" fillId="3" borderId="0" xfId="0" applyFont="1" applyFill="1"/>
    <xf numFmtId="0" fontId="3" fillId="3" borderId="2" xfId="0" applyFont="1" applyFill="1" applyBorder="1"/>
    <xf numFmtId="164" fontId="3" fillId="3" borderId="3" xfId="0" applyNumberFormat="1" applyFont="1" applyFill="1" applyBorder="1" applyAlignment="1">
      <alignment horizontal="left"/>
    </xf>
    <xf numFmtId="0" fontId="3" fillId="4" borderId="0" xfId="0" applyFont="1" applyFill="1"/>
    <xf numFmtId="0" fontId="3" fillId="2" borderId="8" xfId="0" applyFont="1" applyFill="1" applyBorder="1" applyAlignment="1">
      <alignment horizontal="left"/>
    </xf>
    <xf numFmtId="0" fontId="3" fillId="2" borderId="11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/>
    </xf>
    <xf numFmtId="1" fontId="3" fillId="2" borderId="0" xfId="0" applyNumberFormat="1" applyFont="1" applyFill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6" fontId="3" fillId="2" borderId="4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left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left"/>
    </xf>
    <xf numFmtId="6" fontId="2" fillId="3" borderId="7" xfId="0" applyNumberFormat="1" applyFont="1" applyFill="1" applyBorder="1" applyAlignment="1">
      <alignment horizontal="center"/>
    </xf>
    <xf numFmtId="0" fontId="2" fillId="2" borderId="0" xfId="0" applyFont="1" applyFill="1"/>
    <xf numFmtId="0" fontId="5" fillId="2" borderId="9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1" fontId="3" fillId="2" borderId="3" xfId="0" applyNumberFormat="1" applyFont="1" applyFill="1" applyBorder="1" applyAlignment="1">
      <alignment horizontal="left"/>
    </xf>
    <xf numFmtId="1" fontId="3" fillId="2" borderId="0" xfId="0" applyNumberFormat="1" applyFont="1" applyFill="1" applyAlignment="1">
      <alignment horizontal="left"/>
    </xf>
    <xf numFmtId="1" fontId="3" fillId="2" borderId="5" xfId="0" applyNumberFormat="1" applyFont="1" applyFill="1" applyBorder="1" applyAlignment="1">
      <alignment horizontal="left"/>
    </xf>
    <xf numFmtId="1" fontId="3" fillId="2" borderId="6" xfId="0" applyNumberFormat="1" applyFont="1" applyFill="1" applyBorder="1" applyAlignment="1">
      <alignment horizontal="left"/>
    </xf>
    <xf numFmtId="1" fontId="5" fillId="2" borderId="9" xfId="0" applyNumberFormat="1" applyFont="1" applyFill="1" applyBorder="1" applyAlignment="1">
      <alignment horizontal="left"/>
    </xf>
    <xf numFmtId="1" fontId="5" fillId="2" borderId="1" xfId="0" applyNumberFormat="1" applyFont="1" applyFill="1" applyBorder="1" applyAlignment="1">
      <alignment horizontal="left"/>
    </xf>
    <xf numFmtId="0" fontId="5" fillId="2" borderId="2" xfId="0" applyFont="1" applyFill="1" applyBorder="1" applyAlignment="1">
      <alignment horizontal="right"/>
    </xf>
    <xf numFmtId="1" fontId="3" fillId="2" borderId="4" xfId="0" applyNumberFormat="1" applyFont="1" applyFill="1" applyBorder="1" applyAlignment="1">
      <alignment horizontal="right"/>
    </xf>
    <xf numFmtId="1" fontId="3" fillId="2" borderId="7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3" fillId="0" borderId="4" xfId="0" applyFont="1" applyBorder="1"/>
    <xf numFmtId="0" fontId="6" fillId="2" borderId="0" xfId="0" applyFont="1" applyFill="1"/>
    <xf numFmtId="0" fontId="6" fillId="0" borderId="0" xfId="0" applyFont="1"/>
    <xf numFmtId="164" fontId="3" fillId="2" borderId="0" xfId="0" applyNumberFormat="1" applyFont="1" applyFill="1" applyAlignment="1">
      <alignment horizontal="right"/>
    </xf>
    <xf numFmtId="164" fontId="3" fillId="2" borderId="6" xfId="0" applyNumberFormat="1" applyFont="1" applyFill="1" applyBorder="1" applyAlignment="1">
      <alignment horizontal="right"/>
    </xf>
    <xf numFmtId="8" fontId="3" fillId="2" borderId="0" xfId="0" applyNumberFormat="1" applyFont="1" applyFill="1"/>
    <xf numFmtId="6" fontId="3" fillId="2" borderId="0" xfId="0" applyNumberFormat="1" applyFont="1" applyFill="1"/>
    <xf numFmtId="1" fontId="3" fillId="2" borderId="0" xfId="0" applyNumberFormat="1" applyFont="1" applyFill="1" applyAlignment="1">
      <alignment horizontal="right"/>
    </xf>
    <xf numFmtId="2" fontId="3" fillId="2" borderId="0" xfId="0" applyNumberFormat="1" applyFont="1" applyFill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1" fontId="3" fillId="2" borderId="1" xfId="0" applyNumberFormat="1" applyFont="1" applyFill="1" applyBorder="1"/>
    <xf numFmtId="0" fontId="3" fillId="0" borderId="8" xfId="0" applyFont="1" applyBorder="1"/>
    <xf numFmtId="164" fontId="3" fillId="2" borderId="4" xfId="0" applyNumberFormat="1" applyFont="1" applyFill="1" applyBorder="1"/>
    <xf numFmtId="2" fontId="3" fillId="2" borderId="4" xfId="0" applyNumberFormat="1" applyFont="1" applyFill="1" applyBorder="1"/>
    <xf numFmtId="2" fontId="3" fillId="2" borderId="7" xfId="0" applyNumberFormat="1" applyFont="1" applyFill="1" applyBorder="1"/>
    <xf numFmtId="9" fontId="3" fillId="2" borderId="0" xfId="0" applyNumberFormat="1" applyFont="1" applyFill="1" applyAlignment="1">
      <alignment horizontal="left"/>
    </xf>
    <xf numFmtId="6" fontId="2" fillId="2" borderId="0" xfId="0" applyNumberFormat="1" applyFont="1" applyFill="1"/>
    <xf numFmtId="0" fontId="3" fillId="3" borderId="6" xfId="0" applyFont="1" applyFill="1" applyBorder="1" applyAlignment="1">
      <alignment horizontal="center"/>
    </xf>
    <xf numFmtId="0" fontId="3" fillId="2" borderId="13" xfId="0" applyFont="1" applyFill="1" applyBorder="1"/>
    <xf numFmtId="6" fontId="3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left"/>
    </xf>
    <xf numFmtId="6" fontId="2" fillId="2" borderId="0" xfId="0" applyNumberFormat="1" applyFont="1" applyFill="1" applyAlignment="1">
      <alignment horizontal="right"/>
    </xf>
    <xf numFmtId="1" fontId="0" fillId="0" borderId="0" xfId="0" applyNumberFormat="1"/>
    <xf numFmtId="0" fontId="0" fillId="0" borderId="9" xfId="0" applyBorder="1"/>
    <xf numFmtId="0" fontId="0" fillId="0" borderId="15" xfId="0" applyBorder="1"/>
    <xf numFmtId="0" fontId="0" fillId="0" borderId="8" xfId="0" applyBorder="1"/>
    <xf numFmtId="9" fontId="0" fillId="0" borderId="8" xfId="0" applyNumberFormat="1" applyBorder="1"/>
    <xf numFmtId="1" fontId="0" fillId="0" borderId="8" xfId="0" applyNumberFormat="1" applyBorder="1"/>
    <xf numFmtId="1" fontId="3" fillId="2" borderId="1" xfId="0" applyNumberFormat="1" applyFont="1" applyFill="1" applyBorder="1" applyAlignment="1">
      <alignment horizontal="right"/>
    </xf>
    <xf numFmtId="1" fontId="3" fillId="2" borderId="2" xfId="0" applyNumberFormat="1" applyFont="1" applyFill="1" applyBorder="1" applyAlignment="1">
      <alignment horizontal="left"/>
    </xf>
    <xf numFmtId="6" fontId="0" fillId="0" borderId="8" xfId="0" applyNumberFormat="1" applyBorder="1"/>
    <xf numFmtId="0" fontId="0" fillId="0" borderId="8" xfId="0" applyBorder="1" applyAlignment="1">
      <alignment horizontal="left"/>
    </xf>
    <xf numFmtId="0" fontId="8" fillId="2" borderId="0" xfId="0" applyFont="1" applyFill="1"/>
    <xf numFmtId="1" fontId="3" fillId="2" borderId="7" xfId="0" applyNumberFormat="1" applyFont="1" applyFill="1" applyBorder="1"/>
    <xf numFmtId="0" fontId="3" fillId="2" borderId="1" xfId="0" applyFont="1" applyFill="1" applyBorder="1" applyAlignment="1">
      <alignment horizontal="left"/>
    </xf>
    <xf numFmtId="1" fontId="0" fillId="0" borderId="8" xfId="0" applyNumberFormat="1" applyBorder="1" applyAlignment="1">
      <alignment horizontal="left"/>
    </xf>
    <xf numFmtId="1" fontId="3" fillId="2" borderId="9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6" fontId="3" fillId="2" borderId="5" xfId="0" applyNumberFormat="1" applyFont="1" applyFill="1" applyBorder="1" applyAlignment="1">
      <alignment horizontal="left"/>
    </xf>
    <xf numFmtId="6" fontId="3" fillId="2" borderId="6" xfId="0" applyNumberFormat="1" applyFont="1" applyFill="1" applyBorder="1" applyAlignment="1">
      <alignment horizontal="left"/>
    </xf>
    <xf numFmtId="6" fontId="3" fillId="2" borderId="7" xfId="0" applyNumberFormat="1" applyFont="1" applyFill="1" applyBorder="1" applyAlignment="1">
      <alignment horizontal="left"/>
    </xf>
  </cellXfs>
  <cellStyles count="1">
    <cellStyle name="Normaali" xfId="0" builtinId="0"/>
  </cellStyles>
  <dxfs count="18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Maksimi-investointi liuotuksella saadusta kaliumista</a:t>
            </a:r>
          </a:p>
        </c:rich>
      </c:tx>
      <c:layout>
        <c:manualLayout>
          <c:xMode val="edge"/>
          <c:yMode val="edge"/>
          <c:x val="0.14671764823115932"/>
          <c:y val="3.2369937222200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kaliumin saannon mukaan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A'!$D$151:$D$160</c:f>
              <c:numCache>
                <c:formatCode>"€"#,##0_);[Red]\("€"#,##0\)</c:formatCode>
                <c:ptCount val="10"/>
                <c:pt idx="0">
                  <c:v>851375.86779702047</c:v>
                </c:pt>
                <c:pt idx="1">
                  <c:v>1702751.7355940409</c:v>
                </c:pt>
                <c:pt idx="2">
                  <c:v>2554127.6033910611</c:v>
                </c:pt>
                <c:pt idx="3">
                  <c:v>3405503.4711880819</c:v>
                </c:pt>
                <c:pt idx="4">
                  <c:v>4256879.3389851013</c:v>
                </c:pt>
                <c:pt idx="5">
                  <c:v>5108255.2067821221</c:v>
                </c:pt>
                <c:pt idx="6">
                  <c:v>5959631.074579143</c:v>
                </c:pt>
                <c:pt idx="7">
                  <c:v>6811006.9423761638</c:v>
                </c:pt>
                <c:pt idx="8">
                  <c:v>7662382.8101731837</c:v>
                </c:pt>
                <c:pt idx="9">
                  <c:v>8513758.6779702026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451-48B3-9516-C14BE0D5B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/>
                  <a:t>Kaliumin saanto</a:t>
                </a:r>
              </a:p>
              <a:p>
                <a:pPr>
                  <a:defRPr/>
                </a:pP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/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Maksimi-investointi jäädytyskiteytyksellä saadusta kaliumista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kaksi vaiheisella liuotuksella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B'!$G$151:$G$160</c:f>
              <c:numCache>
                <c:formatCode>"€"#,##0_);[Red]\("€"#,##0\)</c:formatCode>
                <c:ptCount val="10"/>
                <c:pt idx="0">
                  <c:v>633176.89145271329</c:v>
                </c:pt>
                <c:pt idx="1">
                  <c:v>1266353.7829054266</c:v>
                </c:pt>
                <c:pt idx="2">
                  <c:v>1899530.6743581395</c:v>
                </c:pt>
                <c:pt idx="3">
                  <c:v>2532707.5658108531</c:v>
                </c:pt>
                <c:pt idx="4">
                  <c:v>3165884.4572635661</c:v>
                </c:pt>
                <c:pt idx="5">
                  <c:v>3799061.348716279</c:v>
                </c:pt>
                <c:pt idx="6">
                  <c:v>4432238.2401689915</c:v>
                </c:pt>
                <c:pt idx="7">
                  <c:v>5065415.1316217063</c:v>
                </c:pt>
                <c:pt idx="8">
                  <c:v>5698592.0230744192</c:v>
                </c:pt>
                <c:pt idx="9">
                  <c:v>6331768.9145271322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A1D-4FA2-A5B2-337A75598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Maksimi-investointi ioninvaihdolla saadusta kaliumista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kaksi vaiheisella liuotuksella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B'!$H$151:$H$160</c:f>
              <c:numCache>
                <c:formatCode>"€"#,##0_);[Red]\("€"#,##0\)</c:formatCode>
                <c:ptCount val="10"/>
                <c:pt idx="0">
                  <c:v>692273.40132163314</c:v>
                </c:pt>
                <c:pt idx="1">
                  <c:v>1384546.8026432663</c:v>
                </c:pt>
                <c:pt idx="2">
                  <c:v>2076820.2039648995</c:v>
                </c:pt>
                <c:pt idx="3">
                  <c:v>2769093.6052865325</c:v>
                </c:pt>
                <c:pt idx="4">
                  <c:v>3461367.0066081653</c:v>
                </c:pt>
                <c:pt idx="5">
                  <c:v>4153640.4079297991</c:v>
                </c:pt>
                <c:pt idx="6">
                  <c:v>4845913.8092514314</c:v>
                </c:pt>
                <c:pt idx="7">
                  <c:v>5538187.2105730651</c:v>
                </c:pt>
                <c:pt idx="8">
                  <c:v>6230460.611894697</c:v>
                </c:pt>
                <c:pt idx="9">
                  <c:v>6922734.0132163307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0F4-4075-AE45-40B45E05B5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5944980415349287E-2"/>
          <c:y val="7.0510528239793743E-2"/>
          <c:w val="0.88796381127439794"/>
          <c:h val="0.86452011071270196"/>
        </c:manualLayout>
      </c:layout>
      <c:scatterChart>
        <c:scatterStyle val="lineMarker"/>
        <c:varyColors val="0"/>
        <c:ser>
          <c:idx val="1"/>
          <c:order val="0"/>
          <c:tx>
            <c:strRef>
              <c:f>'Tehdas B'!$D$150</c:f>
              <c:strCache>
                <c:ptCount val="1"/>
                <c:pt idx="0">
                  <c:v>Liuotus</c:v>
                </c:pt>
              </c:strCache>
            </c:strRef>
          </c:tx>
          <c:spPr>
            <a:ln w="25400">
              <a:solidFill>
                <a:schemeClr val="tx1">
                  <a:lumMod val="25000"/>
                  <a:lumOff val="75000"/>
                </a:schemeClr>
              </a:solidFill>
            </a:ln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B'!$D$151:$D$160</c:f>
              <c:numCache>
                <c:formatCode>"€"#,##0_);[Red]\("€"#,##0\)</c:formatCode>
                <c:ptCount val="10"/>
                <c:pt idx="0">
                  <c:v>514983.87171487347</c:v>
                </c:pt>
                <c:pt idx="1">
                  <c:v>1029967.7434297469</c:v>
                </c:pt>
                <c:pt idx="2">
                  <c:v>1544951.6151446204</c:v>
                </c:pt>
                <c:pt idx="3">
                  <c:v>2059935.4868594939</c:v>
                </c:pt>
                <c:pt idx="4">
                  <c:v>2574919.3585743671</c:v>
                </c:pt>
                <c:pt idx="5">
                  <c:v>3089903.2302892408</c:v>
                </c:pt>
                <c:pt idx="6">
                  <c:v>3604887.1020041141</c:v>
                </c:pt>
                <c:pt idx="7">
                  <c:v>4119870.9737189878</c:v>
                </c:pt>
                <c:pt idx="8">
                  <c:v>4634854.845433861</c:v>
                </c:pt>
                <c:pt idx="9">
                  <c:v>5149838.7171487343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B33-4A69-B8B3-E70EFFF8C61A}"/>
            </c:ext>
          </c:extLst>
        </c:ser>
        <c:ser>
          <c:idx val="2"/>
          <c:order val="1"/>
          <c:tx>
            <c:strRef>
              <c:f>'Tehdas B'!$E$150</c:f>
              <c:strCache>
                <c:ptCount val="1"/>
                <c:pt idx="0">
                  <c:v>Kaksi vaiheinen liuotus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B'!$E$151:$E$160</c:f>
              <c:numCache>
                <c:formatCode>"€"#,##0_);[Red]\("€"#,##0\)</c:formatCode>
                <c:ptCount val="10"/>
                <c:pt idx="0">
                  <c:v>599407.4572419019</c:v>
                </c:pt>
                <c:pt idx="1">
                  <c:v>1198814.9144838038</c:v>
                </c:pt>
                <c:pt idx="2">
                  <c:v>1798222.3717257052</c:v>
                </c:pt>
                <c:pt idx="3">
                  <c:v>2397629.8289676076</c:v>
                </c:pt>
                <c:pt idx="4">
                  <c:v>2997037.2862095088</c:v>
                </c:pt>
                <c:pt idx="5">
                  <c:v>3596444.7434514104</c:v>
                </c:pt>
                <c:pt idx="6">
                  <c:v>4195852.200693313</c:v>
                </c:pt>
                <c:pt idx="7">
                  <c:v>4795259.6579352152</c:v>
                </c:pt>
                <c:pt idx="8">
                  <c:v>5394667.1151771182</c:v>
                </c:pt>
                <c:pt idx="9">
                  <c:v>5994074.5724190176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B33-4A69-B8B3-E70EFFF8C61A}"/>
            </c:ext>
          </c:extLst>
        </c:ser>
        <c:ser>
          <c:idx val="3"/>
          <c:order val="2"/>
          <c:tx>
            <c:strRef>
              <c:f>'Tehdas B'!$F$150</c:f>
              <c:strCache>
                <c:ptCount val="1"/>
                <c:pt idx="0">
                  <c:v>Haihdutuskiteytys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B'!$F$151:$F$160</c:f>
              <c:numCache>
                <c:formatCode>"€"#,##0_);[Red]\("€"#,##0\)</c:formatCode>
                <c:ptCount val="10"/>
                <c:pt idx="0">
                  <c:v>751369.91119055322</c:v>
                </c:pt>
                <c:pt idx="1">
                  <c:v>1502739.8223811064</c:v>
                </c:pt>
                <c:pt idx="2">
                  <c:v>2254109.7335716588</c:v>
                </c:pt>
                <c:pt idx="3">
                  <c:v>3005479.6447622129</c:v>
                </c:pt>
                <c:pt idx="4">
                  <c:v>3756849.5559527646</c:v>
                </c:pt>
                <c:pt idx="5">
                  <c:v>4508219.4671433177</c:v>
                </c:pt>
                <c:pt idx="6">
                  <c:v>5259589.3783338713</c:v>
                </c:pt>
                <c:pt idx="7">
                  <c:v>6010959.2895244258</c:v>
                </c:pt>
                <c:pt idx="8">
                  <c:v>6762329.2007149765</c:v>
                </c:pt>
                <c:pt idx="9">
                  <c:v>7513699.1119055292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33-4A69-B8B3-E70EFFF8C61A}"/>
            </c:ext>
          </c:extLst>
        </c:ser>
        <c:ser>
          <c:idx val="4"/>
          <c:order val="3"/>
          <c:tx>
            <c:strRef>
              <c:f>'Tehdas B'!$G$150</c:f>
              <c:strCache>
                <c:ptCount val="1"/>
                <c:pt idx="0">
                  <c:v>Jäädytyskiteytys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B'!$G$151:$G$160</c:f>
              <c:numCache>
                <c:formatCode>"€"#,##0_);[Red]\("€"#,##0\)</c:formatCode>
                <c:ptCount val="10"/>
                <c:pt idx="0">
                  <c:v>633176.89145271329</c:v>
                </c:pt>
                <c:pt idx="1">
                  <c:v>1266353.7829054266</c:v>
                </c:pt>
                <c:pt idx="2">
                  <c:v>1899530.6743581395</c:v>
                </c:pt>
                <c:pt idx="3">
                  <c:v>2532707.5658108531</c:v>
                </c:pt>
                <c:pt idx="4">
                  <c:v>3165884.4572635661</c:v>
                </c:pt>
                <c:pt idx="5">
                  <c:v>3799061.348716279</c:v>
                </c:pt>
                <c:pt idx="6">
                  <c:v>4432238.2401689915</c:v>
                </c:pt>
                <c:pt idx="7">
                  <c:v>5065415.1316217063</c:v>
                </c:pt>
                <c:pt idx="8">
                  <c:v>5698592.0230744192</c:v>
                </c:pt>
                <c:pt idx="9">
                  <c:v>6331768.9145271322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B33-4A69-B8B3-E70EFFF8C61A}"/>
            </c:ext>
          </c:extLst>
        </c:ser>
        <c:ser>
          <c:idx val="0"/>
          <c:order val="4"/>
          <c:tx>
            <c:strRef>
              <c:f>'Tehdas B'!$H$150</c:f>
              <c:strCache>
                <c:ptCount val="1"/>
                <c:pt idx="0">
                  <c:v>Ioninvaihto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B'!$H$151:$H$160</c:f>
              <c:numCache>
                <c:formatCode>"€"#,##0_);[Red]\("€"#,##0\)</c:formatCode>
                <c:ptCount val="10"/>
                <c:pt idx="0">
                  <c:v>692273.40132163314</c:v>
                </c:pt>
                <c:pt idx="1">
                  <c:v>1384546.8026432663</c:v>
                </c:pt>
                <c:pt idx="2">
                  <c:v>2076820.2039648995</c:v>
                </c:pt>
                <c:pt idx="3">
                  <c:v>2769093.6052865325</c:v>
                </c:pt>
                <c:pt idx="4">
                  <c:v>3461367.0066081653</c:v>
                </c:pt>
                <c:pt idx="5">
                  <c:v>4153640.4079297991</c:v>
                </c:pt>
                <c:pt idx="6">
                  <c:v>4845913.8092514314</c:v>
                </c:pt>
                <c:pt idx="7">
                  <c:v>5538187.2105730651</c:v>
                </c:pt>
                <c:pt idx="8">
                  <c:v>6230460.611894697</c:v>
                </c:pt>
                <c:pt idx="9">
                  <c:v>6922734.0132163307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B33-4A69-B8B3-E70EFFF8C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837279"/>
        <c:axId val="1164837759"/>
      </c:scatterChart>
      <c:valAx>
        <c:axId val="1164837279"/>
        <c:scaling>
          <c:orientation val="minMax"/>
          <c:max val="1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759"/>
        <c:crosses val="autoZero"/>
        <c:crossBetween val="midCat"/>
      </c:valAx>
      <c:valAx>
        <c:axId val="116483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279"/>
        <c:crosses val="autoZero"/>
        <c:crossBetween val="midCat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Maksimi-investointi liuotuksella saadusta kaliumista</a:t>
            </a:r>
          </a:p>
        </c:rich>
      </c:tx>
      <c:layout>
        <c:manualLayout>
          <c:xMode val="edge"/>
          <c:yMode val="edge"/>
          <c:x val="0.14671764823115932"/>
          <c:y val="3.2369937222200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kaliumin saannon mukaan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C'!$D$151:$D$160</c:f>
              <c:numCache>
                <c:formatCode>"€"#,##0_);[Red]\("€"#,##0\)</c:formatCode>
                <c:ptCount val="10"/>
                <c:pt idx="0">
                  <c:v>671325.07390869304</c:v>
                </c:pt>
                <c:pt idx="1">
                  <c:v>1342650.1478173861</c:v>
                </c:pt>
                <c:pt idx="2">
                  <c:v>2013975.2217260792</c:v>
                </c:pt>
                <c:pt idx="3">
                  <c:v>2685300.2956347722</c:v>
                </c:pt>
                <c:pt idx="4">
                  <c:v>3356625.3695434653</c:v>
                </c:pt>
                <c:pt idx="5">
                  <c:v>4027950.4434521585</c:v>
                </c:pt>
                <c:pt idx="6">
                  <c:v>4699275.5173608502</c:v>
                </c:pt>
                <c:pt idx="7">
                  <c:v>5370600.5912695443</c:v>
                </c:pt>
                <c:pt idx="8">
                  <c:v>6041925.6651782366</c:v>
                </c:pt>
                <c:pt idx="9">
                  <c:v>6713250.7390869306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F13-4F9F-BB7A-22E865B13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/>
                  <a:t>Kaliumin saanto</a:t>
                </a:r>
              </a:p>
              <a:p>
                <a:pPr>
                  <a:defRPr/>
                </a:pP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/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Maksimi-investointi kaksi vaiheisella liuotuksella saadusta kaliumista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kaksi vaiheisella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C'!$E$151:$E$160</c:f>
              <c:numCache>
                <c:formatCode>"€"#,##0_);[Red]\("€"#,##0\)</c:formatCode>
                <c:ptCount val="10"/>
                <c:pt idx="0">
                  <c:v>781378.36471339688</c:v>
                </c:pt>
                <c:pt idx="1">
                  <c:v>1562756.7294267938</c:v>
                </c:pt>
                <c:pt idx="2">
                  <c:v>2344135.0941401902</c:v>
                </c:pt>
                <c:pt idx="3">
                  <c:v>3125513.4588535875</c:v>
                </c:pt>
                <c:pt idx="4">
                  <c:v>3906891.8235669844</c:v>
                </c:pt>
                <c:pt idx="5">
                  <c:v>4688270.1882803803</c:v>
                </c:pt>
                <c:pt idx="6">
                  <c:v>5469648.5529937772</c:v>
                </c:pt>
                <c:pt idx="7">
                  <c:v>6251026.917707175</c:v>
                </c:pt>
                <c:pt idx="8">
                  <c:v>7032405.2824205719</c:v>
                </c:pt>
                <c:pt idx="9">
                  <c:v>7813783.6471339688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5A0-48D9-B8FC-D3FB74256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haihduskiteytyksellä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C'!$F$151:$F$160</c:f>
              <c:numCache>
                <c:formatCode>"€"#,##0_);[Red]\("€"#,##0\)</c:formatCode>
                <c:ptCount val="10"/>
                <c:pt idx="0">
                  <c:v>979474.28816186381</c:v>
                </c:pt>
                <c:pt idx="1">
                  <c:v>1958948.5763237276</c:v>
                </c:pt>
                <c:pt idx="2">
                  <c:v>2938422.8644855912</c:v>
                </c:pt>
                <c:pt idx="3">
                  <c:v>3917897.1526474552</c:v>
                </c:pt>
                <c:pt idx="4">
                  <c:v>4897371.4408093169</c:v>
                </c:pt>
                <c:pt idx="5">
                  <c:v>5876845.7289711824</c:v>
                </c:pt>
                <c:pt idx="6">
                  <c:v>6856320.017133045</c:v>
                </c:pt>
                <c:pt idx="7">
                  <c:v>7835794.3052949104</c:v>
                </c:pt>
                <c:pt idx="8">
                  <c:v>8815268.5934567731</c:v>
                </c:pt>
                <c:pt idx="9">
                  <c:v>9794742.8816186339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2B5-4789-B36E-A252D959C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Maksimi-investointi jäädytyskiteytyksellä saadusta kaliumista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kaksi vaiheisella liuotuksella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C'!$G$151:$G$160</c:f>
              <c:numCache>
                <c:formatCode>"€"#,##0_);[Red]\("€"#,##0\)</c:formatCode>
                <c:ptCount val="10"/>
                <c:pt idx="0">
                  <c:v>825399.68103527837</c:v>
                </c:pt>
                <c:pt idx="1">
                  <c:v>1650799.3620705567</c:v>
                </c:pt>
                <c:pt idx="2">
                  <c:v>2476199.0431058346</c:v>
                </c:pt>
                <c:pt idx="3">
                  <c:v>3301598.7241411135</c:v>
                </c:pt>
                <c:pt idx="4">
                  <c:v>4126998.4051763904</c:v>
                </c:pt>
                <c:pt idx="5">
                  <c:v>4952398.0862116693</c:v>
                </c:pt>
                <c:pt idx="6">
                  <c:v>5777797.7672469476</c:v>
                </c:pt>
                <c:pt idx="7">
                  <c:v>6603197.4482822269</c:v>
                </c:pt>
                <c:pt idx="8">
                  <c:v>7428597.1293175044</c:v>
                </c:pt>
                <c:pt idx="9">
                  <c:v>8253996.8103527809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F0D-4C65-BBBC-8A0CB8899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Maksimi-investointi ioninvaihdolla saadusta kaliumista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kaksi vaiheisella liuotuksella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C'!$H$151:$H$160</c:f>
              <c:numCache>
                <c:formatCode>"€"#,##0_);[Red]\("€"#,##0\)</c:formatCode>
                <c:ptCount val="10"/>
                <c:pt idx="0">
                  <c:v>902436.98459857097</c:v>
                </c:pt>
                <c:pt idx="1">
                  <c:v>1804873.9691971419</c:v>
                </c:pt>
                <c:pt idx="2">
                  <c:v>2707310.9537957129</c:v>
                </c:pt>
                <c:pt idx="3">
                  <c:v>3609747.9383942839</c:v>
                </c:pt>
                <c:pt idx="4">
                  <c:v>4512184.9229928534</c:v>
                </c:pt>
                <c:pt idx="5">
                  <c:v>5414621.9075914258</c:v>
                </c:pt>
                <c:pt idx="6">
                  <c:v>6317058.8921899945</c:v>
                </c:pt>
                <c:pt idx="7">
                  <c:v>7219495.8767885678</c:v>
                </c:pt>
                <c:pt idx="8">
                  <c:v>8121932.8613871373</c:v>
                </c:pt>
                <c:pt idx="9">
                  <c:v>9024369.8459857069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3C2-4F04-8C4D-85EF4FA83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944980415349287E-2"/>
          <c:y val="7.0510528239793743E-2"/>
          <c:w val="0.88796381127439794"/>
          <c:h val="0.864520110712701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'Tehdas C'!$D$150</c:f>
              <c:strCache>
                <c:ptCount val="1"/>
                <c:pt idx="0">
                  <c:v>Liuotus</c:v>
                </c:pt>
              </c:strCache>
            </c:strRef>
          </c:tx>
          <c:spPr>
            <a:ln w="25400">
              <a:solidFill>
                <a:schemeClr val="tx1">
                  <a:lumMod val="25000"/>
                  <a:lumOff val="75000"/>
                </a:schemeClr>
              </a:solidFill>
            </a:ln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C'!$D$151:$D$160</c:f>
              <c:numCache>
                <c:formatCode>"€"#,##0_);[Red]\("€"#,##0\)</c:formatCode>
                <c:ptCount val="10"/>
                <c:pt idx="0">
                  <c:v>671325.07390869304</c:v>
                </c:pt>
                <c:pt idx="1">
                  <c:v>1342650.1478173861</c:v>
                </c:pt>
                <c:pt idx="2">
                  <c:v>2013975.2217260792</c:v>
                </c:pt>
                <c:pt idx="3">
                  <c:v>2685300.2956347722</c:v>
                </c:pt>
                <c:pt idx="4">
                  <c:v>3356625.3695434653</c:v>
                </c:pt>
                <c:pt idx="5">
                  <c:v>4027950.4434521585</c:v>
                </c:pt>
                <c:pt idx="6">
                  <c:v>4699275.5173608502</c:v>
                </c:pt>
                <c:pt idx="7">
                  <c:v>5370600.5912695443</c:v>
                </c:pt>
                <c:pt idx="8">
                  <c:v>6041925.6651782366</c:v>
                </c:pt>
                <c:pt idx="9">
                  <c:v>6713250.7390869306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F04-4B9A-A45A-5FE662E4573E}"/>
            </c:ext>
          </c:extLst>
        </c:ser>
        <c:ser>
          <c:idx val="1"/>
          <c:order val="1"/>
          <c:tx>
            <c:strRef>
              <c:f>'Tehdas C'!$E$150</c:f>
              <c:strCache>
                <c:ptCount val="1"/>
                <c:pt idx="0">
                  <c:v>Kaksi vaiheinen liuotus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C'!$E$151:$E$160</c:f>
              <c:numCache>
                <c:formatCode>"€"#,##0_);[Red]\("€"#,##0\)</c:formatCode>
                <c:ptCount val="10"/>
                <c:pt idx="0">
                  <c:v>781378.36471339688</c:v>
                </c:pt>
                <c:pt idx="1">
                  <c:v>1562756.7294267938</c:v>
                </c:pt>
                <c:pt idx="2">
                  <c:v>2344135.0941401902</c:v>
                </c:pt>
                <c:pt idx="3">
                  <c:v>3125513.4588535875</c:v>
                </c:pt>
                <c:pt idx="4">
                  <c:v>3906891.8235669844</c:v>
                </c:pt>
                <c:pt idx="5">
                  <c:v>4688270.1882803803</c:v>
                </c:pt>
                <c:pt idx="6">
                  <c:v>5469648.5529937772</c:v>
                </c:pt>
                <c:pt idx="7">
                  <c:v>6251026.917707175</c:v>
                </c:pt>
                <c:pt idx="8">
                  <c:v>7032405.2824205719</c:v>
                </c:pt>
                <c:pt idx="9">
                  <c:v>7813783.6471339688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F04-4B9A-A45A-5FE662E4573E}"/>
            </c:ext>
          </c:extLst>
        </c:ser>
        <c:ser>
          <c:idx val="2"/>
          <c:order val="2"/>
          <c:tx>
            <c:strRef>
              <c:f>'Tehdas C'!$F$150</c:f>
              <c:strCache>
                <c:ptCount val="1"/>
                <c:pt idx="0">
                  <c:v>Haihdutuskiteytys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C'!$F$151:$F$160</c:f>
              <c:numCache>
                <c:formatCode>"€"#,##0_);[Red]\("€"#,##0\)</c:formatCode>
                <c:ptCount val="10"/>
                <c:pt idx="0">
                  <c:v>979474.28816186381</c:v>
                </c:pt>
                <c:pt idx="1">
                  <c:v>1958948.5763237276</c:v>
                </c:pt>
                <c:pt idx="2">
                  <c:v>2938422.8644855912</c:v>
                </c:pt>
                <c:pt idx="3">
                  <c:v>3917897.1526474552</c:v>
                </c:pt>
                <c:pt idx="4">
                  <c:v>4897371.4408093169</c:v>
                </c:pt>
                <c:pt idx="5">
                  <c:v>5876845.7289711824</c:v>
                </c:pt>
                <c:pt idx="6">
                  <c:v>6856320.017133045</c:v>
                </c:pt>
                <c:pt idx="7">
                  <c:v>7835794.3052949104</c:v>
                </c:pt>
                <c:pt idx="8">
                  <c:v>8815268.5934567731</c:v>
                </c:pt>
                <c:pt idx="9">
                  <c:v>9794742.8816186339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F04-4B9A-A45A-5FE662E4573E}"/>
            </c:ext>
          </c:extLst>
        </c:ser>
        <c:ser>
          <c:idx val="3"/>
          <c:order val="3"/>
          <c:tx>
            <c:strRef>
              <c:f>'Tehdas C'!$G$150</c:f>
              <c:strCache>
                <c:ptCount val="1"/>
                <c:pt idx="0">
                  <c:v>Jäädytyskiteytys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C'!$G$151:$G$160</c:f>
              <c:numCache>
                <c:formatCode>"€"#,##0_);[Red]\("€"#,##0\)</c:formatCode>
                <c:ptCount val="10"/>
                <c:pt idx="0">
                  <c:v>825399.68103527837</c:v>
                </c:pt>
                <c:pt idx="1">
                  <c:v>1650799.3620705567</c:v>
                </c:pt>
                <c:pt idx="2">
                  <c:v>2476199.0431058346</c:v>
                </c:pt>
                <c:pt idx="3">
                  <c:v>3301598.7241411135</c:v>
                </c:pt>
                <c:pt idx="4">
                  <c:v>4126998.4051763904</c:v>
                </c:pt>
                <c:pt idx="5">
                  <c:v>4952398.0862116693</c:v>
                </c:pt>
                <c:pt idx="6">
                  <c:v>5777797.7672469476</c:v>
                </c:pt>
                <c:pt idx="7">
                  <c:v>6603197.4482822269</c:v>
                </c:pt>
                <c:pt idx="8">
                  <c:v>7428597.1293175044</c:v>
                </c:pt>
                <c:pt idx="9">
                  <c:v>8253996.8103527809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F04-4B9A-A45A-5FE662E4573E}"/>
            </c:ext>
          </c:extLst>
        </c:ser>
        <c:ser>
          <c:idx val="4"/>
          <c:order val="4"/>
          <c:tx>
            <c:strRef>
              <c:f>'Tehdas C'!$H$150</c:f>
              <c:strCache>
                <c:ptCount val="1"/>
                <c:pt idx="0">
                  <c:v>Ioninvaihto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C'!$H$151:$H$160</c:f>
              <c:numCache>
                <c:formatCode>"€"#,##0_);[Red]\("€"#,##0\)</c:formatCode>
                <c:ptCount val="10"/>
                <c:pt idx="0">
                  <c:v>902436.98459857097</c:v>
                </c:pt>
                <c:pt idx="1">
                  <c:v>1804873.9691971419</c:v>
                </c:pt>
                <c:pt idx="2">
                  <c:v>2707310.9537957129</c:v>
                </c:pt>
                <c:pt idx="3">
                  <c:v>3609747.9383942839</c:v>
                </c:pt>
                <c:pt idx="4">
                  <c:v>4512184.9229928534</c:v>
                </c:pt>
                <c:pt idx="5">
                  <c:v>5414621.9075914258</c:v>
                </c:pt>
                <c:pt idx="6">
                  <c:v>6317058.8921899945</c:v>
                </c:pt>
                <c:pt idx="7">
                  <c:v>7219495.8767885678</c:v>
                </c:pt>
                <c:pt idx="8">
                  <c:v>8121932.8613871373</c:v>
                </c:pt>
                <c:pt idx="9">
                  <c:v>9024369.8459857069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F04-4B9A-A45A-5FE662E45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837279"/>
        <c:axId val="1164837759"/>
      </c:scatterChart>
      <c:valAx>
        <c:axId val="1164837279"/>
        <c:scaling>
          <c:orientation val="minMax"/>
          <c:max val="1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759"/>
        <c:crosses val="autoZero"/>
        <c:crossBetween val="midCat"/>
      </c:valAx>
      <c:valAx>
        <c:axId val="116483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279"/>
        <c:crosses val="autoZero"/>
        <c:crossBetween val="midCat"/>
      </c:valAx>
    </c:plotArea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90407763431461"/>
          <c:y val="6.7935784574804245E-2"/>
          <c:w val="0.86550280444442929"/>
          <c:h val="0.824452567794096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'Tehdas A'!$D$150</c:f>
              <c:strCache>
                <c:ptCount val="1"/>
                <c:pt idx="0">
                  <c:v>Liuotus</c:v>
                </c:pt>
              </c:strCache>
            </c:strRef>
          </c:tx>
          <c:spPr>
            <a:ln w="25400">
              <a:solidFill>
                <a:schemeClr val="tx1">
                  <a:lumMod val="25000"/>
                  <a:lumOff val="75000"/>
                </a:schemeClr>
              </a:solidFill>
            </a:ln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A'!$D$151:$D$160</c:f>
              <c:numCache>
                <c:formatCode>"€"#,##0_);[Red]\("€"#,##0\)</c:formatCode>
                <c:ptCount val="10"/>
                <c:pt idx="0">
                  <c:v>851375.86779702047</c:v>
                </c:pt>
                <c:pt idx="1">
                  <c:v>1702751.7355940409</c:v>
                </c:pt>
                <c:pt idx="2">
                  <c:v>2554127.6033910611</c:v>
                </c:pt>
                <c:pt idx="3">
                  <c:v>3405503.4711880819</c:v>
                </c:pt>
                <c:pt idx="4">
                  <c:v>4256879.3389851013</c:v>
                </c:pt>
                <c:pt idx="5">
                  <c:v>5108255.2067821221</c:v>
                </c:pt>
                <c:pt idx="6">
                  <c:v>5959631.074579143</c:v>
                </c:pt>
                <c:pt idx="7">
                  <c:v>6811006.9423761638</c:v>
                </c:pt>
                <c:pt idx="8">
                  <c:v>7662382.8101731837</c:v>
                </c:pt>
                <c:pt idx="9">
                  <c:v>8513758.6779702026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BA-40B4-9150-821E090B4464}"/>
            </c:ext>
          </c:extLst>
        </c:ser>
        <c:ser>
          <c:idx val="1"/>
          <c:order val="1"/>
          <c:tx>
            <c:strRef>
              <c:f>'Tehdas A'!$E$150</c:f>
              <c:strCache>
                <c:ptCount val="1"/>
                <c:pt idx="0">
                  <c:v>Kaksi vaiheinen liuotus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A'!$E$151:$E$160</c:f>
              <c:numCache>
                <c:formatCode>"€"#,##0_);[Red]\("€"#,##0\)</c:formatCode>
                <c:ptCount val="10"/>
                <c:pt idx="0">
                  <c:v>990945.6821899747</c:v>
                </c:pt>
                <c:pt idx="1">
                  <c:v>1981891.3643799494</c:v>
                </c:pt>
                <c:pt idx="2">
                  <c:v>2972837.0465699239</c:v>
                </c:pt>
                <c:pt idx="3">
                  <c:v>3963782.7287598988</c:v>
                </c:pt>
                <c:pt idx="4">
                  <c:v>4954728.4109498728</c:v>
                </c:pt>
                <c:pt idx="5">
                  <c:v>5945674.0931398477</c:v>
                </c:pt>
                <c:pt idx="6">
                  <c:v>6936619.7753298227</c:v>
                </c:pt>
                <c:pt idx="7">
                  <c:v>7927565.4575197976</c:v>
                </c:pt>
                <c:pt idx="8">
                  <c:v>8918511.1397097744</c:v>
                </c:pt>
                <c:pt idx="9">
                  <c:v>9909456.8218997456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BA-40B4-9150-821E090B4464}"/>
            </c:ext>
          </c:extLst>
        </c:ser>
        <c:ser>
          <c:idx val="2"/>
          <c:order val="2"/>
          <c:tx>
            <c:strRef>
              <c:f>'Tehdas A'!$F$150</c:f>
              <c:strCache>
                <c:ptCount val="1"/>
                <c:pt idx="0">
                  <c:v>Haihdutuskiteytys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A'!$F$151:$F$160</c:f>
              <c:numCache>
                <c:formatCode>"€"#,##0_);[Red]\("€"#,##0\)</c:formatCode>
                <c:ptCount val="10"/>
                <c:pt idx="0">
                  <c:v>1242171.3480972922</c:v>
                </c:pt>
                <c:pt idx="1">
                  <c:v>2484342.6961945845</c:v>
                </c:pt>
                <c:pt idx="2">
                  <c:v>3726514.0442918763</c:v>
                </c:pt>
                <c:pt idx="3">
                  <c:v>4968685.392389169</c:v>
                </c:pt>
                <c:pt idx="4">
                  <c:v>6210856.7404864598</c:v>
                </c:pt>
                <c:pt idx="5">
                  <c:v>7453028.0885837525</c:v>
                </c:pt>
                <c:pt idx="6">
                  <c:v>8695199.4366810434</c:v>
                </c:pt>
                <c:pt idx="7">
                  <c:v>9937370.7847783379</c:v>
                </c:pt>
                <c:pt idx="8">
                  <c:v>11179542.132875631</c:v>
                </c:pt>
                <c:pt idx="9">
                  <c:v>12421713.48097292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BA-40B4-9150-821E090B4464}"/>
            </c:ext>
          </c:extLst>
        </c:ser>
        <c:ser>
          <c:idx val="3"/>
          <c:order val="3"/>
          <c:tx>
            <c:strRef>
              <c:f>'Tehdas A'!$G$150</c:f>
              <c:strCache>
                <c:ptCount val="1"/>
                <c:pt idx="0">
                  <c:v>Jäädytyskiteytys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A'!$G$151:$G$160</c:f>
              <c:numCache>
                <c:formatCode>"€"#,##0_);[Red]\("€"#,##0\)</c:formatCode>
                <c:ptCount val="10"/>
                <c:pt idx="0">
                  <c:v>1046773.6079471564</c:v>
                </c:pt>
                <c:pt idx="1">
                  <c:v>2093547.2158943128</c:v>
                </c:pt>
                <c:pt idx="2">
                  <c:v>3140320.8238414689</c:v>
                </c:pt>
                <c:pt idx="3">
                  <c:v>4187094.4317886257</c:v>
                </c:pt>
                <c:pt idx="4">
                  <c:v>5233868.039735781</c:v>
                </c:pt>
                <c:pt idx="5">
                  <c:v>6280641.6476829378</c:v>
                </c:pt>
                <c:pt idx="6">
                  <c:v>7327415.2556300946</c:v>
                </c:pt>
                <c:pt idx="7">
                  <c:v>8374188.8635772513</c:v>
                </c:pt>
                <c:pt idx="8">
                  <c:v>9420962.4715244062</c:v>
                </c:pt>
                <c:pt idx="9">
                  <c:v>10467736.079471562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BA-40B4-9150-821E090B4464}"/>
            </c:ext>
          </c:extLst>
        </c:ser>
        <c:ser>
          <c:idx val="4"/>
          <c:order val="4"/>
          <c:tx>
            <c:strRef>
              <c:f>'Tehdas A'!$H$150</c:f>
              <c:strCache>
                <c:ptCount val="1"/>
                <c:pt idx="0">
                  <c:v>Ioninvaihto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A'!$H$151:$H$160</c:f>
              <c:numCache>
                <c:formatCode>"€"#,##0_);[Red]\("€"#,##0\)</c:formatCode>
                <c:ptCount val="10"/>
                <c:pt idx="0">
                  <c:v>1144472.4780222243</c:v>
                </c:pt>
                <c:pt idx="1">
                  <c:v>2288944.9560444485</c:v>
                </c:pt>
                <c:pt idx="2">
                  <c:v>3433417.4340666728</c:v>
                </c:pt>
                <c:pt idx="3">
                  <c:v>4577889.9120888971</c:v>
                </c:pt>
                <c:pt idx="4">
                  <c:v>5722362.3901111213</c:v>
                </c:pt>
                <c:pt idx="5">
                  <c:v>6866834.8681333456</c:v>
                </c:pt>
                <c:pt idx="6">
                  <c:v>8011307.3461555708</c:v>
                </c:pt>
                <c:pt idx="7">
                  <c:v>9155779.8241777942</c:v>
                </c:pt>
                <c:pt idx="8">
                  <c:v>10300252.302200019</c:v>
                </c:pt>
                <c:pt idx="9">
                  <c:v>11444724.780222243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BA-40B4-9150-821E090B4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837279"/>
        <c:axId val="1164837759"/>
      </c:scatterChart>
      <c:valAx>
        <c:axId val="1164837279"/>
        <c:scaling>
          <c:orientation val="minMax"/>
          <c:max val="1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i-FI" sz="1200"/>
                  <a:t>Kaliumin</a:t>
                </a:r>
                <a:r>
                  <a:rPr lang="fi-FI" sz="1200" baseline="0"/>
                  <a:t> saanto (%)</a:t>
                </a:r>
                <a:endParaRPr lang="fi-FI" sz="1200"/>
              </a:p>
            </c:rich>
          </c:tx>
          <c:layout>
            <c:manualLayout>
              <c:xMode val="edge"/>
              <c:yMode val="edge"/>
              <c:x val="0.47533526171925983"/>
              <c:y val="0.93534421291963143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759"/>
        <c:crosses val="autoZero"/>
        <c:crossBetween val="midCat"/>
      </c:valAx>
      <c:valAx>
        <c:axId val="116483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i-FI" sz="1200"/>
                  <a:t>Maksimi-investointi (€)</a:t>
                </a:r>
              </a:p>
            </c:rich>
          </c:tx>
          <c:layout>
            <c:manualLayout>
              <c:xMode val="edge"/>
              <c:yMode val="edge"/>
              <c:x val="0"/>
              <c:y val="0.32781221425016194"/>
            </c:manualLayout>
          </c:layout>
          <c:overlay val="0"/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279"/>
        <c:crosses val="autoZero"/>
        <c:crossBetween val="midCat"/>
        <c:majorUnit val="1000000"/>
      </c:valAx>
    </c:plotArea>
    <c:legend>
      <c:legendPos val="r"/>
      <c:layout>
        <c:manualLayout>
          <c:xMode val="edge"/>
          <c:yMode val="edge"/>
          <c:x val="0.10292470140113406"/>
          <c:y val="6.7726185827828675E-2"/>
          <c:w val="0.21192802755084561"/>
          <c:h val="0.2636327461360301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fi-FI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Maksimi-investointi kaksi vaiheisella liuotuksella saadusta kaliumista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kaksi vaiheisella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A'!$E$151:$E$160</c:f>
              <c:numCache>
                <c:formatCode>"€"#,##0_);[Red]\("€"#,##0\)</c:formatCode>
                <c:ptCount val="10"/>
                <c:pt idx="0">
                  <c:v>990945.6821899747</c:v>
                </c:pt>
                <c:pt idx="1">
                  <c:v>1981891.3643799494</c:v>
                </c:pt>
                <c:pt idx="2">
                  <c:v>2972837.0465699239</c:v>
                </c:pt>
                <c:pt idx="3">
                  <c:v>3963782.7287598988</c:v>
                </c:pt>
                <c:pt idx="4">
                  <c:v>4954728.4109498728</c:v>
                </c:pt>
                <c:pt idx="5">
                  <c:v>5945674.0931398477</c:v>
                </c:pt>
                <c:pt idx="6">
                  <c:v>6936619.7753298227</c:v>
                </c:pt>
                <c:pt idx="7">
                  <c:v>7927565.4575197976</c:v>
                </c:pt>
                <c:pt idx="8">
                  <c:v>8918511.1397097744</c:v>
                </c:pt>
                <c:pt idx="9">
                  <c:v>9909456.8218997456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9B4-4A06-8B92-35F60F7F65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1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36829920348371E-2"/>
          <c:y val="5.3764079829251847E-2"/>
          <c:w val="0.87431165862331728"/>
          <c:h val="0.84206929103374384"/>
        </c:manualLayout>
      </c:layout>
      <c:scatterChart>
        <c:scatterStyle val="lineMarker"/>
        <c:varyColors val="0"/>
        <c:ser>
          <c:idx val="1"/>
          <c:order val="0"/>
          <c:tx>
            <c:strRef>
              <c:f>'Tehdas B'!$D$150</c:f>
              <c:strCache>
                <c:ptCount val="1"/>
                <c:pt idx="0">
                  <c:v>Liuotus</c:v>
                </c:pt>
              </c:strCache>
            </c:strRef>
          </c:tx>
          <c:spPr>
            <a:ln w="25400">
              <a:solidFill>
                <a:schemeClr val="tx1">
                  <a:lumMod val="25000"/>
                  <a:lumOff val="75000"/>
                </a:schemeClr>
              </a:solidFill>
            </a:ln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B'!$D$151:$D$160</c:f>
              <c:numCache>
                <c:formatCode>"€"#,##0_);[Red]\("€"#,##0\)</c:formatCode>
                <c:ptCount val="10"/>
                <c:pt idx="0">
                  <c:v>514983.87171487347</c:v>
                </c:pt>
                <c:pt idx="1">
                  <c:v>1029967.7434297469</c:v>
                </c:pt>
                <c:pt idx="2">
                  <c:v>1544951.6151446204</c:v>
                </c:pt>
                <c:pt idx="3">
                  <c:v>2059935.4868594939</c:v>
                </c:pt>
                <c:pt idx="4">
                  <c:v>2574919.3585743671</c:v>
                </c:pt>
                <c:pt idx="5">
                  <c:v>3089903.2302892408</c:v>
                </c:pt>
                <c:pt idx="6">
                  <c:v>3604887.1020041141</c:v>
                </c:pt>
                <c:pt idx="7">
                  <c:v>4119870.9737189878</c:v>
                </c:pt>
                <c:pt idx="8">
                  <c:v>4634854.845433861</c:v>
                </c:pt>
                <c:pt idx="9">
                  <c:v>5149838.7171487343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DE-4DEF-9B56-3BB434CAEC51}"/>
            </c:ext>
          </c:extLst>
        </c:ser>
        <c:ser>
          <c:idx val="2"/>
          <c:order val="1"/>
          <c:tx>
            <c:strRef>
              <c:f>'Tehdas B'!$E$150</c:f>
              <c:strCache>
                <c:ptCount val="1"/>
                <c:pt idx="0">
                  <c:v>Kaksi vaiheinen liuotus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B'!$E$151:$E$160</c:f>
              <c:numCache>
                <c:formatCode>"€"#,##0_);[Red]\("€"#,##0\)</c:formatCode>
                <c:ptCount val="10"/>
                <c:pt idx="0">
                  <c:v>599407.4572419019</c:v>
                </c:pt>
                <c:pt idx="1">
                  <c:v>1198814.9144838038</c:v>
                </c:pt>
                <c:pt idx="2">
                  <c:v>1798222.3717257052</c:v>
                </c:pt>
                <c:pt idx="3">
                  <c:v>2397629.8289676076</c:v>
                </c:pt>
                <c:pt idx="4">
                  <c:v>2997037.2862095088</c:v>
                </c:pt>
                <c:pt idx="5">
                  <c:v>3596444.7434514104</c:v>
                </c:pt>
                <c:pt idx="6">
                  <c:v>4195852.200693313</c:v>
                </c:pt>
                <c:pt idx="7">
                  <c:v>4795259.6579352152</c:v>
                </c:pt>
                <c:pt idx="8">
                  <c:v>5394667.1151771182</c:v>
                </c:pt>
                <c:pt idx="9">
                  <c:v>5994074.5724190176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DE-4DEF-9B56-3BB434CAEC51}"/>
            </c:ext>
          </c:extLst>
        </c:ser>
        <c:ser>
          <c:idx val="3"/>
          <c:order val="2"/>
          <c:tx>
            <c:strRef>
              <c:f>'Tehdas B'!$F$150</c:f>
              <c:strCache>
                <c:ptCount val="1"/>
                <c:pt idx="0">
                  <c:v>Haihdutuskiteytys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B'!$F$151:$F$160</c:f>
              <c:numCache>
                <c:formatCode>"€"#,##0_);[Red]\("€"#,##0\)</c:formatCode>
                <c:ptCount val="10"/>
                <c:pt idx="0">
                  <c:v>751369.91119055322</c:v>
                </c:pt>
                <c:pt idx="1">
                  <c:v>1502739.8223811064</c:v>
                </c:pt>
                <c:pt idx="2">
                  <c:v>2254109.7335716588</c:v>
                </c:pt>
                <c:pt idx="3">
                  <c:v>3005479.6447622129</c:v>
                </c:pt>
                <c:pt idx="4">
                  <c:v>3756849.5559527646</c:v>
                </c:pt>
                <c:pt idx="5">
                  <c:v>4508219.4671433177</c:v>
                </c:pt>
                <c:pt idx="6">
                  <c:v>5259589.3783338713</c:v>
                </c:pt>
                <c:pt idx="7">
                  <c:v>6010959.2895244258</c:v>
                </c:pt>
                <c:pt idx="8">
                  <c:v>6762329.2007149765</c:v>
                </c:pt>
                <c:pt idx="9">
                  <c:v>7513699.1119055292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DE-4DEF-9B56-3BB434CAEC51}"/>
            </c:ext>
          </c:extLst>
        </c:ser>
        <c:ser>
          <c:idx val="4"/>
          <c:order val="3"/>
          <c:tx>
            <c:strRef>
              <c:f>'Tehdas B'!$G$150</c:f>
              <c:strCache>
                <c:ptCount val="1"/>
                <c:pt idx="0">
                  <c:v>Jäädytyskiteytys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B'!$G$151:$G$160</c:f>
              <c:numCache>
                <c:formatCode>"€"#,##0_);[Red]\("€"#,##0\)</c:formatCode>
                <c:ptCount val="10"/>
                <c:pt idx="0">
                  <c:v>633176.89145271329</c:v>
                </c:pt>
                <c:pt idx="1">
                  <c:v>1266353.7829054266</c:v>
                </c:pt>
                <c:pt idx="2">
                  <c:v>1899530.6743581395</c:v>
                </c:pt>
                <c:pt idx="3">
                  <c:v>2532707.5658108531</c:v>
                </c:pt>
                <c:pt idx="4">
                  <c:v>3165884.4572635661</c:v>
                </c:pt>
                <c:pt idx="5">
                  <c:v>3799061.348716279</c:v>
                </c:pt>
                <c:pt idx="6">
                  <c:v>4432238.2401689915</c:v>
                </c:pt>
                <c:pt idx="7">
                  <c:v>5065415.1316217063</c:v>
                </c:pt>
                <c:pt idx="8">
                  <c:v>5698592.0230744192</c:v>
                </c:pt>
                <c:pt idx="9">
                  <c:v>6331768.9145271322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DE-4DEF-9B56-3BB434CAEC51}"/>
            </c:ext>
          </c:extLst>
        </c:ser>
        <c:ser>
          <c:idx val="0"/>
          <c:order val="4"/>
          <c:tx>
            <c:strRef>
              <c:f>'Tehdas B'!$H$150</c:f>
              <c:strCache>
                <c:ptCount val="1"/>
                <c:pt idx="0">
                  <c:v>Ioninvaihto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B'!$H$151:$H$160</c:f>
              <c:numCache>
                <c:formatCode>"€"#,##0_);[Red]\("€"#,##0\)</c:formatCode>
                <c:ptCount val="10"/>
                <c:pt idx="0">
                  <c:v>692273.40132163314</c:v>
                </c:pt>
                <c:pt idx="1">
                  <c:v>1384546.8026432663</c:v>
                </c:pt>
                <c:pt idx="2">
                  <c:v>2076820.2039648995</c:v>
                </c:pt>
                <c:pt idx="3">
                  <c:v>2769093.6052865325</c:v>
                </c:pt>
                <c:pt idx="4">
                  <c:v>3461367.0066081653</c:v>
                </c:pt>
                <c:pt idx="5">
                  <c:v>4153640.4079297991</c:v>
                </c:pt>
                <c:pt idx="6">
                  <c:v>4845913.8092514314</c:v>
                </c:pt>
                <c:pt idx="7">
                  <c:v>5538187.2105730651</c:v>
                </c:pt>
                <c:pt idx="8">
                  <c:v>6230460.611894697</c:v>
                </c:pt>
                <c:pt idx="9">
                  <c:v>6922734.0132163307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DE-4DEF-9B56-3BB434CAE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837279"/>
        <c:axId val="1164837759"/>
      </c:scatterChart>
      <c:valAx>
        <c:axId val="1164837279"/>
        <c:scaling>
          <c:orientation val="minMax"/>
          <c:max val="1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i-FI" sz="1200"/>
                  <a:t>Kaliumin saanto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759"/>
        <c:crosses val="autoZero"/>
        <c:crossBetween val="midCat"/>
      </c:valAx>
      <c:valAx>
        <c:axId val="116483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i-FI" sz="1200" b="1" i="0" u="none" strike="noStrike" kern="1200" baseline="0">
                    <a:solidFill>
                      <a:sysClr val="windowText" lastClr="000000"/>
                    </a:solidFill>
                  </a:rPr>
                  <a:t>Maksimi-investointi (€)</a:t>
                </a:r>
              </a:p>
            </c:rich>
          </c:tx>
          <c:layout>
            <c:manualLayout>
              <c:xMode val="edge"/>
              <c:yMode val="edge"/>
              <c:x val="0"/>
              <c:y val="0.32807607997460581"/>
            </c:manualLayout>
          </c:layout>
          <c:overlay val="0"/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279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0133150847893189"/>
          <c:y val="5.6431057577990967E-2"/>
          <c:w val="0.20800484221176538"/>
          <c:h val="0.2498570616763335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fi-FI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10308185912342"/>
          <c:y val="9.8655988979880108E-2"/>
          <c:w val="0.85575402981036452"/>
          <c:h val="0.75165751691397142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'Tehdas C'!$D$150</c:f>
              <c:strCache>
                <c:ptCount val="1"/>
                <c:pt idx="0">
                  <c:v>Liuotus</c:v>
                </c:pt>
              </c:strCache>
            </c:strRef>
          </c:tx>
          <c:spPr>
            <a:ln w="25400">
              <a:solidFill>
                <a:schemeClr val="tx1">
                  <a:lumMod val="25000"/>
                  <a:lumOff val="75000"/>
                </a:schemeClr>
              </a:solidFill>
            </a:ln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C'!$D$151:$D$160</c:f>
              <c:numCache>
                <c:formatCode>"€"#,##0_);[Red]\("€"#,##0\)</c:formatCode>
                <c:ptCount val="10"/>
                <c:pt idx="0">
                  <c:v>671325.07390869304</c:v>
                </c:pt>
                <c:pt idx="1">
                  <c:v>1342650.1478173861</c:v>
                </c:pt>
                <c:pt idx="2">
                  <c:v>2013975.2217260792</c:v>
                </c:pt>
                <c:pt idx="3">
                  <c:v>2685300.2956347722</c:v>
                </c:pt>
                <c:pt idx="4">
                  <c:v>3356625.3695434653</c:v>
                </c:pt>
                <c:pt idx="5">
                  <c:v>4027950.4434521585</c:v>
                </c:pt>
                <c:pt idx="6">
                  <c:v>4699275.5173608502</c:v>
                </c:pt>
                <c:pt idx="7">
                  <c:v>5370600.5912695443</c:v>
                </c:pt>
                <c:pt idx="8">
                  <c:v>6041925.6651782366</c:v>
                </c:pt>
                <c:pt idx="9">
                  <c:v>6713250.7390869306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EAC-4DFC-BD35-680BBFDADB03}"/>
            </c:ext>
          </c:extLst>
        </c:ser>
        <c:ser>
          <c:idx val="1"/>
          <c:order val="1"/>
          <c:tx>
            <c:strRef>
              <c:f>'Tehdas C'!$E$150</c:f>
              <c:strCache>
                <c:ptCount val="1"/>
                <c:pt idx="0">
                  <c:v>Kaksi vaiheinen liuotus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C'!$E$151:$E$160</c:f>
              <c:numCache>
                <c:formatCode>"€"#,##0_);[Red]\("€"#,##0\)</c:formatCode>
                <c:ptCount val="10"/>
                <c:pt idx="0">
                  <c:v>781378.36471339688</c:v>
                </c:pt>
                <c:pt idx="1">
                  <c:v>1562756.7294267938</c:v>
                </c:pt>
                <c:pt idx="2">
                  <c:v>2344135.0941401902</c:v>
                </c:pt>
                <c:pt idx="3">
                  <c:v>3125513.4588535875</c:v>
                </c:pt>
                <c:pt idx="4">
                  <c:v>3906891.8235669844</c:v>
                </c:pt>
                <c:pt idx="5">
                  <c:v>4688270.1882803803</c:v>
                </c:pt>
                <c:pt idx="6">
                  <c:v>5469648.5529937772</c:v>
                </c:pt>
                <c:pt idx="7">
                  <c:v>6251026.917707175</c:v>
                </c:pt>
                <c:pt idx="8">
                  <c:v>7032405.2824205719</c:v>
                </c:pt>
                <c:pt idx="9">
                  <c:v>7813783.6471339688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EAC-4DFC-BD35-680BBFDADB03}"/>
            </c:ext>
          </c:extLst>
        </c:ser>
        <c:ser>
          <c:idx val="2"/>
          <c:order val="2"/>
          <c:tx>
            <c:strRef>
              <c:f>'Tehdas C'!$F$150</c:f>
              <c:strCache>
                <c:ptCount val="1"/>
                <c:pt idx="0">
                  <c:v>Haihdutuskiteytys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C'!$F$151:$F$160</c:f>
              <c:numCache>
                <c:formatCode>"€"#,##0_);[Red]\("€"#,##0\)</c:formatCode>
                <c:ptCount val="10"/>
                <c:pt idx="0">
                  <c:v>979474.28816186381</c:v>
                </c:pt>
                <c:pt idx="1">
                  <c:v>1958948.5763237276</c:v>
                </c:pt>
                <c:pt idx="2">
                  <c:v>2938422.8644855912</c:v>
                </c:pt>
                <c:pt idx="3">
                  <c:v>3917897.1526474552</c:v>
                </c:pt>
                <c:pt idx="4">
                  <c:v>4897371.4408093169</c:v>
                </c:pt>
                <c:pt idx="5">
                  <c:v>5876845.7289711824</c:v>
                </c:pt>
                <c:pt idx="6">
                  <c:v>6856320.017133045</c:v>
                </c:pt>
                <c:pt idx="7">
                  <c:v>7835794.3052949104</c:v>
                </c:pt>
                <c:pt idx="8">
                  <c:v>8815268.5934567731</c:v>
                </c:pt>
                <c:pt idx="9">
                  <c:v>9794742.8816186339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EAC-4DFC-BD35-680BBFDADB03}"/>
            </c:ext>
          </c:extLst>
        </c:ser>
        <c:ser>
          <c:idx val="3"/>
          <c:order val="3"/>
          <c:tx>
            <c:strRef>
              <c:f>'Tehdas C'!$G$150</c:f>
              <c:strCache>
                <c:ptCount val="1"/>
                <c:pt idx="0">
                  <c:v>Jäädytyskiteytys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C'!$G$151:$G$160</c:f>
              <c:numCache>
                <c:formatCode>"€"#,##0_);[Red]\("€"#,##0\)</c:formatCode>
                <c:ptCount val="10"/>
                <c:pt idx="0">
                  <c:v>825399.68103527837</c:v>
                </c:pt>
                <c:pt idx="1">
                  <c:v>1650799.3620705567</c:v>
                </c:pt>
                <c:pt idx="2">
                  <c:v>2476199.0431058346</c:v>
                </c:pt>
                <c:pt idx="3">
                  <c:v>3301598.7241411135</c:v>
                </c:pt>
                <c:pt idx="4">
                  <c:v>4126998.4051763904</c:v>
                </c:pt>
                <c:pt idx="5">
                  <c:v>4952398.0862116693</c:v>
                </c:pt>
                <c:pt idx="6">
                  <c:v>5777797.7672469476</c:v>
                </c:pt>
                <c:pt idx="7">
                  <c:v>6603197.4482822269</c:v>
                </c:pt>
                <c:pt idx="8">
                  <c:v>7428597.1293175044</c:v>
                </c:pt>
                <c:pt idx="9">
                  <c:v>8253996.8103527809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EAC-4DFC-BD35-680BBFDADB03}"/>
            </c:ext>
          </c:extLst>
        </c:ser>
        <c:ser>
          <c:idx val="4"/>
          <c:order val="4"/>
          <c:tx>
            <c:strRef>
              <c:f>'Tehdas C'!$H$150</c:f>
              <c:strCache>
                <c:ptCount val="1"/>
                <c:pt idx="0">
                  <c:v>Ioninvaihto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'Tehdas C'!$C$151:$C$160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C'!$H$151:$H$160</c:f>
              <c:numCache>
                <c:formatCode>"€"#,##0_);[Red]\("€"#,##0\)</c:formatCode>
                <c:ptCount val="10"/>
                <c:pt idx="0">
                  <c:v>902436.98459857097</c:v>
                </c:pt>
                <c:pt idx="1">
                  <c:v>1804873.9691971419</c:v>
                </c:pt>
                <c:pt idx="2">
                  <c:v>2707310.9537957129</c:v>
                </c:pt>
                <c:pt idx="3">
                  <c:v>3609747.9383942839</c:v>
                </c:pt>
                <c:pt idx="4">
                  <c:v>4512184.9229928534</c:v>
                </c:pt>
                <c:pt idx="5">
                  <c:v>5414621.9075914258</c:v>
                </c:pt>
                <c:pt idx="6">
                  <c:v>6317058.8921899945</c:v>
                </c:pt>
                <c:pt idx="7">
                  <c:v>7219495.8767885678</c:v>
                </c:pt>
                <c:pt idx="8">
                  <c:v>8121932.8613871373</c:v>
                </c:pt>
                <c:pt idx="9">
                  <c:v>9024369.8459857069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EAC-4DFC-BD35-680BBFDAD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837279"/>
        <c:axId val="1164837759"/>
      </c:scatterChart>
      <c:valAx>
        <c:axId val="1164837279"/>
        <c:scaling>
          <c:orientation val="minMax"/>
          <c:max val="1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i-FI" sz="1200"/>
                  <a:t>Kaliumin saanto (%)</a:t>
                </a:r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759"/>
        <c:crosses val="autoZero"/>
        <c:crossBetween val="midCat"/>
      </c:valAx>
      <c:valAx>
        <c:axId val="116483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200"/>
                </a:pPr>
                <a:r>
                  <a:rPr lang="fi-FI" sz="1200" b="1" i="0" u="none" strike="noStrike" kern="1200" baseline="0">
                    <a:solidFill>
                      <a:sysClr val="windowText" lastClr="000000"/>
                    </a:solidFill>
                  </a:rPr>
                  <a:t>Maksimi-investointi (€)</a:t>
                </a:r>
              </a:p>
            </c:rich>
          </c:tx>
          <c:overlay val="0"/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279"/>
        <c:crosses val="autoZero"/>
        <c:crossBetween val="midCat"/>
        <c:majorUnit val="1000000"/>
      </c:valAx>
    </c:plotArea>
    <c:legend>
      <c:legendPos val="tr"/>
      <c:layout>
        <c:manualLayout>
          <c:xMode val="edge"/>
          <c:yMode val="edge"/>
          <c:x val="0.10323515733082153"/>
          <c:y val="9.9607641706017283E-2"/>
          <c:w val="0.21654244157622443"/>
          <c:h val="0.24104616149127117"/>
        </c:manualLayout>
      </c:layout>
      <c:overlay val="1"/>
      <c:spPr>
        <a:solidFill>
          <a:schemeClr val="bg1"/>
        </a:solidFill>
      </c:spPr>
      <c:txPr>
        <a:bodyPr/>
        <a:lstStyle/>
        <a:p>
          <a:pPr>
            <a:defRPr sz="1200"/>
          </a:pPr>
          <a:endParaRPr lang="fi-FI"/>
        </a:p>
      </c:tx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haihduskiteytyksellä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A'!$F$151:$F$160</c:f>
              <c:numCache>
                <c:formatCode>"€"#,##0_);[Red]\("€"#,##0\)</c:formatCode>
                <c:ptCount val="10"/>
                <c:pt idx="0">
                  <c:v>1242171.3480972922</c:v>
                </c:pt>
                <c:pt idx="1">
                  <c:v>2484342.6961945845</c:v>
                </c:pt>
                <c:pt idx="2">
                  <c:v>3726514.0442918763</c:v>
                </c:pt>
                <c:pt idx="3">
                  <c:v>4968685.392389169</c:v>
                </c:pt>
                <c:pt idx="4">
                  <c:v>6210856.7404864598</c:v>
                </c:pt>
                <c:pt idx="5">
                  <c:v>7453028.0885837525</c:v>
                </c:pt>
                <c:pt idx="6">
                  <c:v>8695199.4366810434</c:v>
                </c:pt>
                <c:pt idx="7">
                  <c:v>9937370.7847783379</c:v>
                </c:pt>
                <c:pt idx="8">
                  <c:v>11179542.132875631</c:v>
                </c:pt>
                <c:pt idx="9">
                  <c:v>12421713.48097292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34E-4368-B29B-67CE9ADCE2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Maksimi-investointi jäädytyskiteytyksellä saadusta kaliumista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kaksi vaiheisella liuotuksella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A'!$G$151:$G$160</c:f>
              <c:numCache>
                <c:formatCode>"€"#,##0_);[Red]\("€"#,##0\)</c:formatCode>
                <c:ptCount val="10"/>
                <c:pt idx="0">
                  <c:v>1046773.6079471564</c:v>
                </c:pt>
                <c:pt idx="1">
                  <c:v>2093547.2158943128</c:v>
                </c:pt>
                <c:pt idx="2">
                  <c:v>3140320.8238414689</c:v>
                </c:pt>
                <c:pt idx="3">
                  <c:v>4187094.4317886257</c:v>
                </c:pt>
                <c:pt idx="4">
                  <c:v>5233868.039735781</c:v>
                </c:pt>
                <c:pt idx="5">
                  <c:v>6280641.6476829378</c:v>
                </c:pt>
                <c:pt idx="6">
                  <c:v>7327415.2556300946</c:v>
                </c:pt>
                <c:pt idx="7">
                  <c:v>8374188.8635772513</c:v>
                </c:pt>
                <c:pt idx="8">
                  <c:v>9420962.4715244062</c:v>
                </c:pt>
                <c:pt idx="9">
                  <c:v>10467736.079471562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B0-4B68-A108-C012245F2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Maksimi-investointi ioninvaihdolla saadusta kaliumista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kaksi vaiheisella liuotuksella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A'!$H$151:$H$160</c:f>
              <c:numCache>
                <c:formatCode>"€"#,##0_);[Red]\("€"#,##0\)</c:formatCode>
                <c:ptCount val="10"/>
                <c:pt idx="0">
                  <c:v>1144472.4780222243</c:v>
                </c:pt>
                <c:pt idx="1">
                  <c:v>2288944.9560444485</c:v>
                </c:pt>
                <c:pt idx="2">
                  <c:v>3433417.4340666728</c:v>
                </c:pt>
                <c:pt idx="3">
                  <c:v>4577889.9120888971</c:v>
                </c:pt>
                <c:pt idx="4">
                  <c:v>5722362.3901111213</c:v>
                </c:pt>
                <c:pt idx="5">
                  <c:v>6866834.8681333456</c:v>
                </c:pt>
                <c:pt idx="6">
                  <c:v>8011307.3461555708</c:v>
                </c:pt>
                <c:pt idx="7">
                  <c:v>9155779.8241777942</c:v>
                </c:pt>
                <c:pt idx="8">
                  <c:v>10300252.302200019</c:v>
                </c:pt>
                <c:pt idx="9">
                  <c:v>11444724.780222243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C2-4283-901B-B9D0F8515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163698294106"/>
          <c:y val="6.5168147027954745E-2"/>
          <c:w val="0.86550280444442929"/>
          <c:h val="0.824452567794096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'Tehdas A'!$D$150</c:f>
              <c:strCache>
                <c:ptCount val="1"/>
                <c:pt idx="0">
                  <c:v>Liuotus</c:v>
                </c:pt>
              </c:strCache>
            </c:strRef>
          </c:tx>
          <c:spPr>
            <a:ln w="25400">
              <a:solidFill>
                <a:schemeClr val="tx1">
                  <a:lumMod val="25000"/>
                  <a:lumOff val="75000"/>
                </a:schemeClr>
              </a:solidFill>
            </a:ln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A'!$D$151:$D$160</c:f>
              <c:numCache>
                <c:formatCode>"€"#,##0_);[Red]\("€"#,##0\)</c:formatCode>
                <c:ptCount val="10"/>
                <c:pt idx="0">
                  <c:v>851375.86779702047</c:v>
                </c:pt>
                <c:pt idx="1">
                  <c:v>1702751.7355940409</c:v>
                </c:pt>
                <c:pt idx="2">
                  <c:v>2554127.6033910611</c:v>
                </c:pt>
                <c:pt idx="3">
                  <c:v>3405503.4711880819</c:v>
                </c:pt>
                <c:pt idx="4">
                  <c:v>4256879.3389851013</c:v>
                </c:pt>
                <c:pt idx="5">
                  <c:v>5108255.2067821221</c:v>
                </c:pt>
                <c:pt idx="6">
                  <c:v>5959631.074579143</c:v>
                </c:pt>
                <c:pt idx="7">
                  <c:v>6811006.9423761638</c:v>
                </c:pt>
                <c:pt idx="8">
                  <c:v>7662382.8101731837</c:v>
                </c:pt>
                <c:pt idx="9">
                  <c:v>8513758.6779702026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F8-4335-8756-C816998B1B15}"/>
            </c:ext>
          </c:extLst>
        </c:ser>
        <c:ser>
          <c:idx val="1"/>
          <c:order val="1"/>
          <c:tx>
            <c:strRef>
              <c:f>'Tehdas A'!$E$150</c:f>
              <c:strCache>
                <c:ptCount val="1"/>
                <c:pt idx="0">
                  <c:v>Kaksi vaiheinen liuotus</c:v>
                </c:pt>
              </c:strCache>
            </c:strRef>
          </c:tx>
          <c:spPr>
            <a:ln w="254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A'!$E$151:$E$160</c:f>
              <c:numCache>
                <c:formatCode>"€"#,##0_);[Red]\("€"#,##0\)</c:formatCode>
                <c:ptCount val="10"/>
                <c:pt idx="0">
                  <c:v>990945.6821899747</c:v>
                </c:pt>
                <c:pt idx="1">
                  <c:v>1981891.3643799494</c:v>
                </c:pt>
                <c:pt idx="2">
                  <c:v>2972837.0465699239</c:v>
                </c:pt>
                <c:pt idx="3">
                  <c:v>3963782.7287598988</c:v>
                </c:pt>
                <c:pt idx="4">
                  <c:v>4954728.4109498728</c:v>
                </c:pt>
                <c:pt idx="5">
                  <c:v>5945674.0931398477</c:v>
                </c:pt>
                <c:pt idx="6">
                  <c:v>6936619.7753298227</c:v>
                </c:pt>
                <c:pt idx="7">
                  <c:v>7927565.4575197976</c:v>
                </c:pt>
                <c:pt idx="8">
                  <c:v>8918511.1397097744</c:v>
                </c:pt>
                <c:pt idx="9">
                  <c:v>9909456.8218997456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F8-4335-8756-C816998B1B15}"/>
            </c:ext>
          </c:extLst>
        </c:ser>
        <c:ser>
          <c:idx val="2"/>
          <c:order val="2"/>
          <c:tx>
            <c:strRef>
              <c:f>'Tehdas A'!$F$150</c:f>
              <c:strCache>
                <c:ptCount val="1"/>
                <c:pt idx="0">
                  <c:v>Haihdutuskiteytys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A'!$F$151:$F$160</c:f>
              <c:numCache>
                <c:formatCode>"€"#,##0_);[Red]\("€"#,##0\)</c:formatCode>
                <c:ptCount val="10"/>
                <c:pt idx="0">
                  <c:v>1242171.3480972922</c:v>
                </c:pt>
                <c:pt idx="1">
                  <c:v>2484342.6961945845</c:v>
                </c:pt>
                <c:pt idx="2">
                  <c:v>3726514.0442918763</c:v>
                </c:pt>
                <c:pt idx="3">
                  <c:v>4968685.392389169</c:v>
                </c:pt>
                <c:pt idx="4">
                  <c:v>6210856.7404864598</c:v>
                </c:pt>
                <c:pt idx="5">
                  <c:v>7453028.0885837525</c:v>
                </c:pt>
                <c:pt idx="6">
                  <c:v>8695199.4366810434</c:v>
                </c:pt>
                <c:pt idx="7">
                  <c:v>9937370.7847783379</c:v>
                </c:pt>
                <c:pt idx="8">
                  <c:v>11179542.132875631</c:v>
                </c:pt>
                <c:pt idx="9">
                  <c:v>12421713.48097292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F8-4335-8756-C816998B1B15}"/>
            </c:ext>
          </c:extLst>
        </c:ser>
        <c:ser>
          <c:idx val="3"/>
          <c:order val="3"/>
          <c:tx>
            <c:strRef>
              <c:f>'Tehdas A'!$G$150</c:f>
              <c:strCache>
                <c:ptCount val="1"/>
                <c:pt idx="0">
                  <c:v>Jäädytyskiteytys</c:v>
                </c:pt>
              </c:strCache>
            </c:strRef>
          </c:tx>
          <c:spPr>
            <a:ln w="254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A'!$G$151:$G$160</c:f>
              <c:numCache>
                <c:formatCode>"€"#,##0_);[Red]\("€"#,##0\)</c:formatCode>
                <c:ptCount val="10"/>
                <c:pt idx="0">
                  <c:v>1046773.6079471564</c:v>
                </c:pt>
                <c:pt idx="1">
                  <c:v>2093547.2158943128</c:v>
                </c:pt>
                <c:pt idx="2">
                  <c:v>3140320.8238414689</c:v>
                </c:pt>
                <c:pt idx="3">
                  <c:v>4187094.4317886257</c:v>
                </c:pt>
                <c:pt idx="4">
                  <c:v>5233868.039735781</c:v>
                </c:pt>
                <c:pt idx="5">
                  <c:v>6280641.6476829378</c:v>
                </c:pt>
                <c:pt idx="6">
                  <c:v>7327415.2556300946</c:v>
                </c:pt>
                <c:pt idx="7">
                  <c:v>8374188.8635772513</c:v>
                </c:pt>
                <c:pt idx="8">
                  <c:v>9420962.4715244062</c:v>
                </c:pt>
                <c:pt idx="9">
                  <c:v>10467736.079471562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DF8-4335-8756-C816998B1B15}"/>
            </c:ext>
          </c:extLst>
        </c:ser>
        <c:ser>
          <c:idx val="4"/>
          <c:order val="4"/>
          <c:tx>
            <c:strRef>
              <c:f>'Tehdas A'!$H$150</c:f>
              <c:strCache>
                <c:ptCount val="1"/>
                <c:pt idx="0">
                  <c:v>Ioninvaihto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'Tehdas A'!$C$151:$C$160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A'!$H$151:$H$160</c:f>
              <c:numCache>
                <c:formatCode>"€"#,##0_);[Red]\("€"#,##0\)</c:formatCode>
                <c:ptCount val="10"/>
                <c:pt idx="0">
                  <c:v>1144472.4780222243</c:v>
                </c:pt>
                <c:pt idx="1">
                  <c:v>2288944.9560444485</c:v>
                </c:pt>
                <c:pt idx="2">
                  <c:v>3433417.4340666728</c:v>
                </c:pt>
                <c:pt idx="3">
                  <c:v>4577889.9120888971</c:v>
                </c:pt>
                <c:pt idx="4">
                  <c:v>5722362.3901111213</c:v>
                </c:pt>
                <c:pt idx="5">
                  <c:v>6866834.8681333456</c:v>
                </c:pt>
                <c:pt idx="6">
                  <c:v>8011307.3461555708</c:v>
                </c:pt>
                <c:pt idx="7">
                  <c:v>9155779.8241777942</c:v>
                </c:pt>
                <c:pt idx="8">
                  <c:v>10300252.302200019</c:v>
                </c:pt>
                <c:pt idx="9">
                  <c:v>11444724.780222243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DF8-4335-8756-C816998B1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4837279"/>
        <c:axId val="1164837759"/>
      </c:scatterChart>
      <c:valAx>
        <c:axId val="1164837279"/>
        <c:scaling>
          <c:orientation val="minMax"/>
          <c:max val="1"/>
          <c:min val="0.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i-FI" sz="1200"/>
                  <a:t>Kaliumin</a:t>
                </a:r>
                <a:r>
                  <a:rPr lang="fi-FI" sz="1200" baseline="0"/>
                  <a:t> saanto</a:t>
                </a:r>
                <a:endParaRPr lang="fi-FI" sz="1200"/>
              </a:p>
            </c:rich>
          </c:tx>
          <c:layout>
            <c:manualLayout>
              <c:xMode val="edge"/>
              <c:yMode val="edge"/>
              <c:x val="0.47533526171925983"/>
              <c:y val="0.93534421291963143"/>
            </c:manualLayout>
          </c:layout>
          <c:overlay val="0"/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759"/>
        <c:crosses val="autoZero"/>
        <c:crossBetween val="midCat"/>
      </c:valAx>
      <c:valAx>
        <c:axId val="11648377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fi-FI" sz="1100"/>
                  <a:t>Maksimi-investointi</a:t>
                </a:r>
                <a:endParaRPr lang="fi-FI"/>
              </a:p>
            </c:rich>
          </c:tx>
          <c:overlay val="0"/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164837279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339488562299298"/>
          <c:y val="0.64421217134616038"/>
          <c:w val="0.16417305832164084"/>
          <c:h val="0.24151272381569344"/>
        </c:manualLayout>
      </c:layout>
      <c:overlay val="0"/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Maksimi-investointi liuotuksella saadusta kaliumista</a:t>
            </a:r>
          </a:p>
        </c:rich>
      </c:tx>
      <c:layout>
        <c:manualLayout>
          <c:xMode val="edge"/>
          <c:yMode val="edge"/>
          <c:x val="0.14671764823115932"/>
          <c:y val="3.2369937222200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kaliumin saannon mukaan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B'!$D$151:$D$160</c:f>
              <c:numCache>
                <c:formatCode>"€"#,##0_);[Red]\("€"#,##0\)</c:formatCode>
                <c:ptCount val="10"/>
                <c:pt idx="0">
                  <c:v>514983.87171487347</c:v>
                </c:pt>
                <c:pt idx="1">
                  <c:v>1029967.7434297469</c:v>
                </c:pt>
                <c:pt idx="2">
                  <c:v>1544951.6151446204</c:v>
                </c:pt>
                <c:pt idx="3">
                  <c:v>2059935.4868594939</c:v>
                </c:pt>
                <c:pt idx="4">
                  <c:v>2574919.3585743671</c:v>
                </c:pt>
                <c:pt idx="5">
                  <c:v>3089903.2302892408</c:v>
                </c:pt>
                <c:pt idx="6">
                  <c:v>3604887.1020041141</c:v>
                </c:pt>
                <c:pt idx="7">
                  <c:v>4119870.9737189878</c:v>
                </c:pt>
                <c:pt idx="8">
                  <c:v>4634854.845433861</c:v>
                </c:pt>
                <c:pt idx="9">
                  <c:v>5149838.7171487343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6AA-45D0-B16B-0586B7840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/>
                  <a:t>Kaliumin saanto</a:t>
                </a:r>
              </a:p>
              <a:p>
                <a:pPr>
                  <a:defRPr/>
                </a:pP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/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i-FI"/>
              <a:t>Maksimi-investointi kaksi vaiheisella liuotuksella saadusta kaliumista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kaksi vaiheisella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B'!$E$151:$E$160</c:f>
              <c:numCache>
                <c:formatCode>"€"#,##0_);[Red]\("€"#,##0\)</c:formatCode>
                <c:ptCount val="10"/>
                <c:pt idx="0">
                  <c:v>599407.4572419019</c:v>
                </c:pt>
                <c:pt idx="1">
                  <c:v>1198814.9144838038</c:v>
                </c:pt>
                <c:pt idx="2">
                  <c:v>1798222.3717257052</c:v>
                </c:pt>
                <c:pt idx="3">
                  <c:v>2397629.8289676076</c:v>
                </c:pt>
                <c:pt idx="4">
                  <c:v>2997037.2862095088</c:v>
                </c:pt>
                <c:pt idx="5">
                  <c:v>3596444.7434514104</c:v>
                </c:pt>
                <c:pt idx="6">
                  <c:v>4195852.200693313</c:v>
                </c:pt>
                <c:pt idx="7">
                  <c:v>4795259.6579352152</c:v>
                </c:pt>
                <c:pt idx="8">
                  <c:v>5394667.1151771182</c:v>
                </c:pt>
                <c:pt idx="9">
                  <c:v>5994074.5724190176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D56-451F-B0A1-5E0122B4C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i-F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Maksimi-investointi haihduskiteytyksellä saadusta kaliumista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'Tehdas B'!$C$151:$C$160</c:f>
              <c:numCache>
                <c:formatCode>0%</c:formatCode>
                <c:ptCount val="10"/>
                <c:pt idx="0">
                  <c:v>0.1</c:v>
                </c:pt>
                <c:pt idx="1">
                  <c:v>0.2</c:v>
                </c:pt>
                <c:pt idx="2">
                  <c:v>0.3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0.8</c:v>
                </c:pt>
                <c:pt idx="8">
                  <c:v>0.9</c:v>
                </c:pt>
                <c:pt idx="9">
                  <c:v>1</c:v>
                </c:pt>
              </c:numCache>
            </c:numRef>
          </c:xVal>
          <c:yVal>
            <c:numRef>
              <c:f>'Tehdas B'!$F$151:$F$160</c:f>
              <c:numCache>
                <c:formatCode>"€"#,##0_);[Red]\("€"#,##0\)</c:formatCode>
                <c:ptCount val="10"/>
                <c:pt idx="0">
                  <c:v>751369.91119055322</c:v>
                </c:pt>
                <c:pt idx="1">
                  <c:v>1502739.8223811064</c:v>
                </c:pt>
                <c:pt idx="2">
                  <c:v>2254109.7335716588</c:v>
                </c:pt>
                <c:pt idx="3">
                  <c:v>3005479.6447622129</c:v>
                </c:pt>
                <c:pt idx="4">
                  <c:v>3756849.5559527646</c:v>
                </c:pt>
                <c:pt idx="5">
                  <c:v>4508219.4671433177</c:v>
                </c:pt>
                <c:pt idx="6">
                  <c:v>5259589.3783338713</c:v>
                </c:pt>
                <c:pt idx="7">
                  <c:v>6010959.2895244258</c:v>
                </c:pt>
                <c:pt idx="8">
                  <c:v>6762329.2007149765</c:v>
                </c:pt>
                <c:pt idx="9">
                  <c:v>7513699.1119055292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131-43C4-B099-1D1AA7531F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84340816"/>
        <c:axId val="1884360496"/>
      </c:scatterChart>
      <c:valAx>
        <c:axId val="18843408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Kaliumin saanto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60496"/>
        <c:crosses val="autoZero"/>
        <c:crossBetween val="midCat"/>
      </c:valAx>
      <c:valAx>
        <c:axId val="1884360496"/>
        <c:scaling>
          <c:orientation val="minMax"/>
          <c:max val="4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4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Maksimi-investointi</a:t>
                </a:r>
                <a:endParaRPr lang="fi-F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&quot;€&quot;#,##0_);[Red]\(&quot;€&quot;#,##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18843408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8.xml"/><Relationship Id="rId5" Type="http://schemas.openxmlformats.org/officeDocument/2006/relationships/chart" Target="../charts/chart17.xml"/><Relationship Id="rId4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436281</xdr:colOff>
      <xdr:row>161</xdr:row>
      <xdr:rowOff>112060</xdr:rowOff>
    </xdr:from>
    <xdr:to>
      <xdr:col>4</xdr:col>
      <xdr:colOff>974912</xdr:colOff>
      <xdr:row>178</xdr:row>
      <xdr:rowOff>88526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3076E5AA-E1E8-09FF-BE54-FC6771C437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134469</xdr:colOff>
      <xdr:row>161</xdr:row>
      <xdr:rowOff>104028</xdr:rowOff>
    </xdr:from>
    <xdr:to>
      <xdr:col>7</xdr:col>
      <xdr:colOff>979713</xdr:colOff>
      <xdr:row>178</xdr:row>
      <xdr:rowOff>135404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CB99FC0E-0FDE-464C-9250-3E866B30FA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1524000</xdr:colOff>
      <xdr:row>161</xdr:row>
      <xdr:rowOff>56030</xdr:rowOff>
    </xdr:from>
    <xdr:to>
      <xdr:col>11</xdr:col>
      <xdr:colOff>639536</xdr:colOff>
      <xdr:row>179</xdr:row>
      <xdr:rowOff>56964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6DB3A33F-80C0-498C-8DF0-9A66864D11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952500</xdr:colOff>
      <xdr:row>161</xdr:row>
      <xdr:rowOff>44823</xdr:rowOff>
    </xdr:from>
    <xdr:to>
      <xdr:col>16</xdr:col>
      <xdr:colOff>108857</xdr:colOff>
      <xdr:row>179</xdr:row>
      <xdr:rowOff>79374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B092D186-94BC-47FC-8076-E00D57B77B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16</xdr:col>
      <xdr:colOff>369794</xdr:colOff>
      <xdr:row>161</xdr:row>
      <xdr:rowOff>30442</xdr:rowOff>
    </xdr:from>
    <xdr:to>
      <xdr:col>24</xdr:col>
      <xdr:colOff>204107</xdr:colOff>
      <xdr:row>179</xdr:row>
      <xdr:rowOff>106643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3CA364DB-9D24-4AD7-9F4C-CF9785B8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649941</xdr:colOff>
      <xdr:row>132</xdr:row>
      <xdr:rowOff>11205</xdr:rowOff>
    </xdr:from>
    <xdr:to>
      <xdr:col>17</xdr:col>
      <xdr:colOff>47625</xdr:colOff>
      <xdr:row>158</xdr:row>
      <xdr:rowOff>57150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986D2C1D-83FA-49FF-83A3-D322011466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504317</xdr:colOff>
      <xdr:row>163</xdr:row>
      <xdr:rowOff>112060</xdr:rowOff>
    </xdr:from>
    <xdr:to>
      <xdr:col>5</xdr:col>
      <xdr:colOff>433801</xdr:colOff>
      <xdr:row>180</xdr:row>
      <xdr:rowOff>85351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960D1638-BE69-4991-8C61-0847FA93A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978112</xdr:colOff>
      <xdr:row>163</xdr:row>
      <xdr:rowOff>107203</xdr:rowOff>
    </xdr:from>
    <xdr:to>
      <xdr:col>7</xdr:col>
      <xdr:colOff>2364468</xdr:colOff>
      <xdr:row>180</xdr:row>
      <xdr:rowOff>135404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0D56C080-6370-484D-8EB1-E7FAD7DFCE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221797</xdr:colOff>
      <xdr:row>163</xdr:row>
      <xdr:rowOff>83245</xdr:rowOff>
    </xdr:from>
    <xdr:to>
      <xdr:col>12</xdr:col>
      <xdr:colOff>435429</xdr:colOff>
      <xdr:row>181</xdr:row>
      <xdr:rowOff>84179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411EC814-B418-4027-8BF4-48C3DF1483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952500</xdr:colOff>
      <xdr:row>163</xdr:row>
      <xdr:rowOff>47998</xdr:rowOff>
    </xdr:from>
    <xdr:to>
      <xdr:col>18</xdr:col>
      <xdr:colOff>244929</xdr:colOff>
      <xdr:row>181</xdr:row>
      <xdr:rowOff>79374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82D7B0A1-9657-49AA-9E61-3EEC14F9CB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35966</xdr:colOff>
      <xdr:row>163</xdr:row>
      <xdr:rowOff>68089</xdr:rowOff>
    </xdr:from>
    <xdr:to>
      <xdr:col>27</xdr:col>
      <xdr:colOff>353786</xdr:colOff>
      <xdr:row>181</xdr:row>
      <xdr:rowOff>144290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B7880191-7F6E-4F4D-9270-7F8F10006B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257176</xdr:colOff>
      <xdr:row>136</xdr:row>
      <xdr:rowOff>42334</xdr:rowOff>
    </xdr:from>
    <xdr:to>
      <xdr:col>18</xdr:col>
      <xdr:colOff>148167</xdr:colOff>
      <xdr:row>161</xdr:row>
      <xdr:rowOff>63501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2F68F5EE-E74B-2090-67B6-658B2CCA4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436281</xdr:colOff>
      <xdr:row>162</xdr:row>
      <xdr:rowOff>112060</xdr:rowOff>
    </xdr:from>
    <xdr:to>
      <xdr:col>5</xdr:col>
      <xdr:colOff>974912</xdr:colOff>
      <xdr:row>179</xdr:row>
      <xdr:rowOff>88526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AB2F1E2E-A00C-498B-B4DA-5AEC4ADC2E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134469</xdr:colOff>
      <xdr:row>162</xdr:row>
      <xdr:rowOff>104028</xdr:rowOff>
    </xdr:from>
    <xdr:to>
      <xdr:col>8</xdr:col>
      <xdr:colOff>979713</xdr:colOff>
      <xdr:row>179</xdr:row>
      <xdr:rowOff>135404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8865752E-0EF8-4037-9629-7E6F3194D2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7793</xdr:colOff>
      <xdr:row>162</xdr:row>
      <xdr:rowOff>56030</xdr:rowOff>
    </xdr:from>
    <xdr:to>
      <xdr:col>13</xdr:col>
      <xdr:colOff>598714</xdr:colOff>
      <xdr:row>180</xdr:row>
      <xdr:rowOff>56964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99083D29-3611-4D0F-8A6B-8F5B4A65C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1030967</xdr:colOff>
      <xdr:row>162</xdr:row>
      <xdr:rowOff>44823</xdr:rowOff>
    </xdr:from>
    <xdr:to>
      <xdr:col>20</xdr:col>
      <xdr:colOff>190500</xdr:colOff>
      <xdr:row>180</xdr:row>
      <xdr:rowOff>68036</xdr:rowOff>
    </xdr:to>
    <xdr:graphicFrame macro="">
      <xdr:nvGraphicFramePr>
        <xdr:cNvPr id="5" name="Kaavio 4">
          <a:extLst>
            <a:ext uri="{FF2B5EF4-FFF2-40B4-BE49-F238E27FC236}">
              <a16:creationId xmlns:a16="http://schemas.microsoft.com/office/drawing/2014/main" id="{87F32196-123E-451C-AD0D-29B74951CC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454611</xdr:colOff>
      <xdr:row>161</xdr:row>
      <xdr:rowOff>136125</xdr:rowOff>
    </xdr:from>
    <xdr:to>
      <xdr:col>30</xdr:col>
      <xdr:colOff>408213</xdr:colOff>
      <xdr:row>180</xdr:row>
      <xdr:rowOff>81643</xdr:rowOff>
    </xdr:to>
    <xdr:graphicFrame macro="">
      <xdr:nvGraphicFramePr>
        <xdr:cNvPr id="6" name="Kaavio 5">
          <a:extLst>
            <a:ext uri="{FF2B5EF4-FFF2-40B4-BE49-F238E27FC236}">
              <a16:creationId xmlns:a16="http://schemas.microsoft.com/office/drawing/2014/main" id="{52548AF7-8E24-4FE7-8E9E-70BBEE5382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0</xdr:colOff>
      <xdr:row>136</xdr:row>
      <xdr:rowOff>0</xdr:rowOff>
    </xdr:from>
    <xdr:to>
      <xdr:col>19</xdr:col>
      <xdr:colOff>409726</xdr:colOff>
      <xdr:row>161</xdr:row>
      <xdr:rowOff>96763</xdr:rowOff>
    </xdr:to>
    <xdr:graphicFrame macro="">
      <xdr:nvGraphicFramePr>
        <xdr:cNvPr id="7" name="Kaavio 6">
          <a:extLst>
            <a:ext uri="{FF2B5EF4-FFF2-40B4-BE49-F238E27FC236}">
              <a16:creationId xmlns:a16="http://schemas.microsoft.com/office/drawing/2014/main" id="{86031950-6381-4BD2-8F05-5C67251D13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381000</xdr:colOff>
      <xdr:row>3</xdr:row>
      <xdr:rowOff>41413</xdr:rowOff>
    </xdr:from>
    <xdr:to>
      <xdr:col>25</xdr:col>
      <xdr:colOff>134738</xdr:colOff>
      <xdr:row>29</xdr:row>
      <xdr:rowOff>2516</xdr:rowOff>
    </xdr:to>
    <xdr:graphicFrame macro="">
      <xdr:nvGraphicFramePr>
        <xdr:cNvPr id="2" name="Kaavio 1">
          <a:extLst>
            <a:ext uri="{FF2B5EF4-FFF2-40B4-BE49-F238E27FC236}">
              <a16:creationId xmlns:a16="http://schemas.microsoft.com/office/drawing/2014/main" id="{C674BBC6-6438-4063-B2E9-9DD1D03B17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588066</xdr:colOff>
      <xdr:row>29</xdr:row>
      <xdr:rowOff>140805</xdr:rowOff>
    </xdr:from>
    <xdr:to>
      <xdr:col>25</xdr:col>
      <xdr:colOff>127000</xdr:colOff>
      <xdr:row>55</xdr:row>
      <xdr:rowOff>125976</xdr:rowOff>
    </xdr:to>
    <xdr:graphicFrame macro="">
      <xdr:nvGraphicFramePr>
        <xdr:cNvPr id="3" name="Kaavio 2">
          <a:extLst>
            <a:ext uri="{FF2B5EF4-FFF2-40B4-BE49-F238E27FC236}">
              <a16:creationId xmlns:a16="http://schemas.microsoft.com/office/drawing/2014/main" id="{D7F77914-EC87-4299-AB7C-045F22FFDF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58</xdr:row>
      <xdr:rowOff>67235</xdr:rowOff>
    </xdr:from>
    <xdr:to>
      <xdr:col>25</xdr:col>
      <xdr:colOff>9649</xdr:colOff>
      <xdr:row>82</xdr:row>
      <xdr:rowOff>47625</xdr:rowOff>
    </xdr:to>
    <xdr:graphicFrame macro="">
      <xdr:nvGraphicFramePr>
        <xdr:cNvPr id="4" name="Kaavio 3">
          <a:extLst>
            <a:ext uri="{FF2B5EF4-FFF2-40B4-BE49-F238E27FC236}">
              <a16:creationId xmlns:a16="http://schemas.microsoft.com/office/drawing/2014/main" id="{17267676-5F41-4949-A227-8576064E6B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Kassu Rissanen" id="{61D1E139-EBDA-4763-A55B-1FC95C5D9D83}" userId="c32600c98841145f" providerId="Windows Live"/>
</personList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" dT="2024-10-29T11:47:21.76" personId="{61D1E139-EBDA-4763-A55B-1FC95C5D9D83}" id="{51ED491F-EB37-4417-AC95-03962BF90DD4}">
    <text>Raja-arvot metsätuhkalannoitteeksi</text>
  </threadedComment>
  <threadedComment ref="E2" dT="2024-12-03T08:18:52.48" personId="{61D1E139-EBDA-4763-A55B-1FC95C5D9D83}" id="{0D1189DD-9D1B-4AE6-ADEA-EAD563A12522}">
    <text>Raja-arvot epäorgaaniseksi lannoitteeksi</text>
  </threadedComment>
  <threadedComment ref="E13" dT="2024-12-03T08:46:39.97" personId="{61D1E139-EBDA-4763-A55B-1FC95C5D9D83}" id="{581E4EFF-E8DA-4657-9D21-7B95B87BA775}">
    <text>Metsätuhkalannoite</text>
  </threadedComment>
  <threadedComment ref="F13" dT="2024-12-03T08:21:07.58" personId="{61D1E139-EBDA-4763-A55B-1FC95C5D9D83}" id="{785870B0-CAAC-4A1A-A602-1F2A0E380256}">
    <text>Orgaaninen lannoite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" dT="2024-12-03T08:31:43.33" personId="{61D1E139-EBDA-4763-A55B-1FC95C5D9D83}" id="{449D34D2-891E-4D51-99C2-932C5481D554}">
    <text>Raja-arvot metsälannoitteelle</text>
  </threadedComment>
  <threadedComment ref="E2" dT="2024-12-03T08:18:52.48" personId="{61D1E139-EBDA-4763-A55B-1FC95C5D9D83}" id="{FE1BB789-7FF9-493A-9719-257193DF6B16}">
    <text>Raja-arvot epäorgaaniseksi lannoitteeksi</text>
  </threadedComment>
  <threadedComment ref="E13" dT="2024-12-03T08:46:39.97" personId="{61D1E139-EBDA-4763-A55B-1FC95C5D9D83}" id="{E0F0B02E-4A99-4287-9055-06B928FD3B3A}">
    <text>Metsätuhkalannoite</text>
  </threadedComment>
  <threadedComment ref="F13" dT="2024-12-03T08:21:07.58" personId="{61D1E139-EBDA-4763-A55B-1FC95C5D9D83}" id="{3A8E7261-71B3-488B-9B4E-0ABFD253ED7A}">
    <text>Orgaaninen lannoite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D2" dT="2024-10-29T11:47:21.76" personId="{61D1E139-EBDA-4763-A55B-1FC95C5D9D83}" id="{53573A03-BAB7-4F2E-AAFA-D919A8DDE0E7}">
    <text>Raja-arvot metsätuhkalannoitteeksi</text>
  </threadedComment>
  <threadedComment ref="E2" dT="2024-12-03T08:18:52.48" personId="{61D1E139-EBDA-4763-A55B-1FC95C5D9D83}" id="{92EDA274-7D0E-4CD1-BE15-E83D8AC3A221}">
    <text>Raja-arvot epäorgaaniseksi lannoitteeksi</text>
  </threadedComment>
  <threadedComment ref="E13" dT="2024-12-03T08:21:31.98" personId="{61D1E139-EBDA-4763-A55B-1FC95C5D9D83}" id="{B2DB77FF-C350-4326-B2FC-EBFFEE7CF6E6}">
    <text>Metsätuhkalannoite</text>
  </threadedComment>
  <threadedComment ref="F13" dT="2024-12-03T08:21:07.58" personId="{61D1E139-EBDA-4763-A55B-1FC95C5D9D83}" id="{FC4F6C6D-FF30-4C08-8384-7708728808F1}">
    <text>Orgaaninen lannoite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4" Type="http://schemas.microsoft.com/office/2017/10/relationships/threadedComment" Target="../threadedComments/threadedComment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D8A6D8-5310-4EBD-8858-57CCD184AB88}">
  <dimension ref="A1:Z186"/>
  <sheetViews>
    <sheetView tabSelected="1" zoomScale="50" zoomScaleNormal="50" workbookViewId="0">
      <selection activeCell="E29" sqref="E29"/>
    </sheetView>
  </sheetViews>
  <sheetFormatPr defaultRowHeight="14" x14ac:dyDescent="0.3"/>
  <cols>
    <col min="1" max="2" width="8.7265625" style="1"/>
    <col min="3" max="3" width="38.26953125" style="1" customWidth="1"/>
    <col min="4" max="4" width="17.81640625" style="1" customWidth="1"/>
    <col min="5" max="6" width="22.54296875" style="1" customWidth="1"/>
    <col min="7" max="7" width="39.08984375" style="1" customWidth="1"/>
    <col min="8" max="8" width="53.90625" style="1" customWidth="1"/>
    <col min="9" max="9" width="19" style="1" customWidth="1"/>
    <col min="10" max="10" width="15.08984375" style="1" customWidth="1"/>
    <col min="11" max="11" width="20.54296875" style="1" customWidth="1"/>
    <col min="12" max="12" width="21.453125" style="1" customWidth="1"/>
    <col min="13" max="13" width="16.08984375" style="1" customWidth="1"/>
    <col min="14" max="14" width="14.90625" style="1" bestFit="1" customWidth="1"/>
    <col min="15" max="15" width="17" style="1" customWidth="1"/>
    <col min="16" max="16" width="21" style="1" bestFit="1" customWidth="1"/>
    <col min="17" max="17" width="16.1796875" style="1" bestFit="1" customWidth="1"/>
    <col min="18" max="18" width="15.36328125" style="1" bestFit="1" customWidth="1"/>
    <col min="19" max="19" width="14" style="1" customWidth="1"/>
    <col min="20" max="16384" width="8.7265625" style="1"/>
  </cols>
  <sheetData>
    <row r="1" spans="1: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3">
      <c r="A2" s="2"/>
      <c r="B2" s="2"/>
      <c r="C2" s="6" t="s">
        <v>115</v>
      </c>
      <c r="D2" s="8" t="s">
        <v>113</v>
      </c>
      <c r="E2" s="100" t="s">
        <v>113</v>
      </c>
      <c r="F2" s="2"/>
      <c r="G2" s="2"/>
      <c r="H2" s="3" t="s">
        <v>12</v>
      </c>
      <c r="I2" s="4" t="s">
        <v>1</v>
      </c>
      <c r="J2" s="5" t="s">
        <v>11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11" t="s">
        <v>17</v>
      </c>
      <c r="D3" s="12">
        <v>40</v>
      </c>
      <c r="E3" s="13">
        <v>40</v>
      </c>
      <c r="F3" s="2"/>
      <c r="G3" s="2"/>
      <c r="H3" s="48" t="s">
        <v>116</v>
      </c>
      <c r="I3" s="12">
        <v>0.51200000000000001</v>
      </c>
      <c r="J3" s="13">
        <f>I3*100</f>
        <v>51.2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15" t="s">
        <v>18</v>
      </c>
      <c r="D4" s="2">
        <v>1</v>
      </c>
      <c r="E4" s="10">
        <v>1</v>
      </c>
      <c r="F4" s="14"/>
      <c r="G4" s="2"/>
      <c r="H4" s="27" t="s">
        <v>117</v>
      </c>
      <c r="I4" s="2">
        <v>0.112</v>
      </c>
      <c r="J4" s="10">
        <f>I4*100</f>
        <v>11.200000000000001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5" customHeight="1" x14ac:dyDescent="0.3">
      <c r="A5" s="2"/>
      <c r="B5" s="2"/>
      <c r="C5" s="15" t="s">
        <v>19</v>
      </c>
      <c r="D5" s="2">
        <v>25</v>
      </c>
      <c r="E5" s="10">
        <v>1.5</v>
      </c>
      <c r="F5" s="14"/>
      <c r="G5" s="2"/>
      <c r="H5" s="9" t="s">
        <v>2</v>
      </c>
      <c r="I5" s="2">
        <v>0</v>
      </c>
      <c r="J5" s="10">
        <f t="shared" ref="J5:J12" si="0">I5*100</f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15" t="s">
        <v>20</v>
      </c>
      <c r="D6" s="2">
        <v>120</v>
      </c>
      <c r="E6" s="10">
        <v>70</v>
      </c>
      <c r="F6" s="14"/>
      <c r="G6" s="2"/>
      <c r="H6" s="9" t="s">
        <v>6</v>
      </c>
      <c r="I6" s="2">
        <v>0.42899999999999999</v>
      </c>
      <c r="J6" s="10">
        <f t="shared" si="0"/>
        <v>42.9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15" t="s">
        <v>21</v>
      </c>
      <c r="D7" s="2">
        <v>150</v>
      </c>
      <c r="E7" s="10">
        <v>100</v>
      </c>
      <c r="F7" s="14"/>
      <c r="G7" s="2"/>
      <c r="H7" s="9" t="s">
        <v>7</v>
      </c>
      <c r="I7" s="2">
        <v>0.317</v>
      </c>
      <c r="J7" s="10">
        <f t="shared" si="0"/>
        <v>31.7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15" t="s">
        <v>22</v>
      </c>
      <c r="D8" s="2">
        <v>600</v>
      </c>
      <c r="E8" s="10">
        <v>600</v>
      </c>
      <c r="F8" s="14"/>
      <c r="G8" s="2"/>
      <c r="H8" s="9" t="s">
        <v>3</v>
      </c>
      <c r="I8" s="2">
        <v>0.1701</v>
      </c>
      <c r="J8" s="10">
        <f t="shared" si="0"/>
        <v>17.010000000000002</v>
      </c>
      <c r="K8" s="2"/>
      <c r="L8" s="2"/>
      <c r="M8" s="2"/>
      <c r="N8" s="2"/>
      <c r="O8" s="2"/>
      <c r="P8" s="2"/>
      <c r="Q8" s="16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15" t="s">
        <v>23</v>
      </c>
      <c r="D9" s="2">
        <v>300</v>
      </c>
      <c r="E9" s="10">
        <v>300</v>
      </c>
      <c r="F9" s="14"/>
      <c r="G9" s="2"/>
      <c r="H9" s="9" t="s">
        <v>8</v>
      </c>
      <c r="I9" s="2">
        <v>9.11E-3</v>
      </c>
      <c r="J9" s="10">
        <f t="shared" si="0"/>
        <v>0.91100000000000003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15" t="s">
        <v>24</v>
      </c>
      <c r="D10" s="2">
        <v>4500</v>
      </c>
      <c r="E10" s="10">
        <v>1500</v>
      </c>
      <c r="F10" s="2"/>
      <c r="G10" s="2"/>
      <c r="H10" s="9" t="s">
        <v>9</v>
      </c>
      <c r="I10" s="2">
        <v>5.2200000000000003E-2</v>
      </c>
      <c r="J10" s="10">
        <f t="shared" si="0"/>
        <v>5.2200000000000006</v>
      </c>
      <c r="K10" s="2"/>
      <c r="L10" s="2"/>
      <c r="M10" s="2"/>
      <c r="N10" s="2"/>
      <c r="O10" s="2"/>
      <c r="P10" s="2"/>
      <c r="Q10" s="16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0" t="s">
        <v>25</v>
      </c>
      <c r="D11" s="18">
        <v>10</v>
      </c>
      <c r="E11" s="19">
        <v>10</v>
      </c>
      <c r="F11" s="14"/>
      <c r="G11" s="2"/>
      <c r="H11" s="9" t="s">
        <v>5</v>
      </c>
      <c r="I11" s="2">
        <v>2.2517470000000001E-2</v>
      </c>
      <c r="J11" s="10">
        <f t="shared" si="0"/>
        <v>2.2517469999999999</v>
      </c>
      <c r="K11" s="2"/>
      <c r="L11" s="2"/>
      <c r="M11" s="2"/>
      <c r="N11" s="2"/>
      <c r="O11" s="2"/>
      <c r="P11" s="2"/>
      <c r="Q11" s="16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1"/>
      <c r="D12" s="2"/>
      <c r="E12" s="2"/>
      <c r="F12" s="2"/>
      <c r="G12" s="2"/>
      <c r="H12" s="9" t="s">
        <v>10</v>
      </c>
      <c r="I12" s="2">
        <v>7.2529999999999998E-5</v>
      </c>
      <c r="J12" s="10">
        <f t="shared" si="0"/>
        <v>7.2529999999999999E-3</v>
      </c>
      <c r="K12" s="2"/>
      <c r="L12" s="2"/>
      <c r="M12" s="2"/>
      <c r="N12" s="2"/>
      <c r="O12" s="2"/>
      <c r="P12" s="2"/>
      <c r="Q12" s="16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6" t="s">
        <v>26</v>
      </c>
      <c r="D13" s="7" t="s">
        <v>113</v>
      </c>
      <c r="E13" s="7" t="s">
        <v>114</v>
      </c>
      <c r="F13" s="8" t="s">
        <v>114</v>
      </c>
      <c r="G13" s="2"/>
      <c r="H13" s="17" t="s">
        <v>4</v>
      </c>
      <c r="I13" s="18">
        <f>SUM(I5:I12)</f>
        <v>1</v>
      </c>
      <c r="J13" s="19">
        <f>SUM(J5:J12)</f>
        <v>100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11" t="s">
        <v>17</v>
      </c>
      <c r="D14" s="96">
        <v>1</v>
      </c>
      <c r="E14" s="23">
        <f>D14</f>
        <v>1</v>
      </c>
      <c r="F14" s="102">
        <f>D14</f>
        <v>1</v>
      </c>
      <c r="G14" s="2"/>
      <c r="H14" s="2"/>
      <c r="I14" s="2"/>
      <c r="J14" s="2"/>
      <c r="K14" s="22"/>
      <c r="L14" s="2"/>
      <c r="M14" s="2"/>
      <c r="N14" s="2"/>
      <c r="O14" s="2"/>
      <c r="P14" s="2"/>
      <c r="Q14" s="16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15" t="s">
        <v>18</v>
      </c>
      <c r="D15" s="22">
        <v>7.0000000000000001E-3</v>
      </c>
      <c r="E15" s="24">
        <f>D15</f>
        <v>7.0000000000000001E-3</v>
      </c>
      <c r="F15" s="101">
        <f t="shared" ref="F15:F22" si="1">D15</f>
        <v>7.0000000000000001E-3</v>
      </c>
      <c r="G15" s="2"/>
      <c r="H15" s="2"/>
      <c r="I15" s="2"/>
      <c r="J15" s="2"/>
      <c r="K15" s="2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15" t="s">
        <v>19</v>
      </c>
      <c r="D16" s="22">
        <v>3.8</v>
      </c>
      <c r="E16" s="23">
        <f>D16</f>
        <v>3.8</v>
      </c>
      <c r="F16" s="102">
        <f t="shared" si="1"/>
        <v>3.8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15" t="s">
        <v>20</v>
      </c>
      <c r="D17" s="22">
        <v>1</v>
      </c>
      <c r="E17" s="23">
        <f t="shared" ref="E17:E22" si="2">D17</f>
        <v>1</v>
      </c>
      <c r="F17" s="102">
        <f t="shared" si="1"/>
        <v>1</v>
      </c>
      <c r="G17" s="2"/>
      <c r="H17" s="2"/>
      <c r="I17" s="2"/>
      <c r="J17" s="2"/>
      <c r="K17" s="2"/>
      <c r="L17" s="2"/>
      <c r="M17" s="2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15" t="s">
        <v>21</v>
      </c>
      <c r="D18" s="22">
        <v>1.73</v>
      </c>
      <c r="E18" s="23">
        <f t="shared" si="2"/>
        <v>1.73</v>
      </c>
      <c r="F18" s="102">
        <f t="shared" si="1"/>
        <v>1.73</v>
      </c>
      <c r="G18" s="2"/>
      <c r="H18" s="2"/>
      <c r="I18" s="2"/>
      <c r="J18" s="2"/>
      <c r="K18" s="2"/>
      <c r="L18" s="2"/>
      <c r="M18" s="2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15" t="s">
        <v>22</v>
      </c>
      <c r="D19" s="22">
        <v>1</v>
      </c>
      <c r="E19" s="23">
        <f t="shared" si="2"/>
        <v>1</v>
      </c>
      <c r="F19" s="102">
        <f t="shared" si="1"/>
        <v>1</v>
      </c>
      <c r="G19" s="2"/>
      <c r="H19" s="2"/>
      <c r="I19" s="2"/>
      <c r="J19" s="2"/>
      <c r="K19" s="2"/>
      <c r="L19" s="2"/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15" t="s">
        <v>23</v>
      </c>
      <c r="D20" s="22">
        <v>1</v>
      </c>
      <c r="E20" s="23">
        <f t="shared" si="2"/>
        <v>1</v>
      </c>
      <c r="F20" s="102">
        <f t="shared" si="1"/>
        <v>1</v>
      </c>
      <c r="G20" s="2"/>
      <c r="H20" s="2"/>
      <c r="I20" s="2"/>
      <c r="J20" s="2"/>
      <c r="K20" s="2"/>
      <c r="L20" s="2"/>
      <c r="M20" s="2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2"/>
      <c r="C21" s="15" t="s">
        <v>24</v>
      </c>
      <c r="D21" s="22">
        <v>67</v>
      </c>
      <c r="E21" s="23">
        <f t="shared" si="2"/>
        <v>67</v>
      </c>
      <c r="F21" s="102">
        <f t="shared" si="1"/>
        <v>67</v>
      </c>
      <c r="G21" s="2"/>
      <c r="H21" s="2"/>
      <c r="I21" s="2"/>
      <c r="J21" s="2"/>
      <c r="K21" s="2"/>
      <c r="L21" s="2"/>
      <c r="M21" s="2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"/>
      <c r="C22" s="20" t="s">
        <v>25</v>
      </c>
      <c r="D22" s="46">
        <v>1</v>
      </c>
      <c r="E22" s="98">
        <f t="shared" si="2"/>
        <v>1</v>
      </c>
      <c r="F22" s="103">
        <f t="shared" si="1"/>
        <v>1</v>
      </c>
      <c r="G22" s="2"/>
      <c r="H22" s="2"/>
      <c r="I22" s="2"/>
      <c r="J22" s="2"/>
      <c r="K22" s="24"/>
      <c r="L22" s="24"/>
      <c r="M22" s="2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"/>
      <c r="B23" s="2"/>
      <c r="C23" s="30"/>
      <c r="D23" s="31"/>
      <c r="E23" s="14"/>
      <c r="F23" s="2"/>
      <c r="G23" s="30"/>
      <c r="H23" s="2"/>
      <c r="I23" s="9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"/>
      <c r="B24" s="2"/>
      <c r="C24" s="2"/>
      <c r="D24" s="2"/>
      <c r="E24" s="2"/>
      <c r="F24" s="2"/>
      <c r="G24" s="2"/>
      <c r="H24" s="2"/>
      <c r="I24" s="95"/>
      <c r="J24" s="2"/>
      <c r="K24" s="2"/>
      <c r="L24" s="2"/>
      <c r="M24" s="2"/>
      <c r="N24" s="2" t="s">
        <v>106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" x14ac:dyDescent="0.4">
      <c r="A25" s="2"/>
      <c r="B25" s="2"/>
      <c r="C25" s="88" t="s">
        <v>102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43"/>
    </row>
    <row r="26" spans="1:25" x14ac:dyDescent="0.3">
      <c r="A26" s="2"/>
      <c r="B26" s="2"/>
      <c r="C26" s="32" t="s">
        <v>28</v>
      </c>
      <c r="D26" s="33"/>
      <c r="E26" s="33">
        <f>J31*I10*1000</f>
        <v>141.419196</v>
      </c>
      <c r="F26" s="34" t="s">
        <v>29</v>
      </c>
      <c r="G26" s="2"/>
      <c r="H26" s="25" t="s">
        <v>0</v>
      </c>
      <c r="I26" s="12"/>
      <c r="J26" s="12">
        <f>1-0.783</f>
        <v>0.21699999999999997</v>
      </c>
      <c r="K26" s="26" t="s">
        <v>1</v>
      </c>
      <c r="L26" s="2"/>
      <c r="M26" s="2"/>
      <c r="N26" s="32" t="s">
        <v>40</v>
      </c>
      <c r="O26" s="54"/>
      <c r="P26" s="54">
        <f>J31*1000*I7</f>
        <v>858.81005999999991</v>
      </c>
      <c r="Q26" s="34" t="s">
        <v>29</v>
      </c>
      <c r="R26" s="2"/>
      <c r="S26" s="2"/>
      <c r="T26" s="2"/>
      <c r="U26" s="2"/>
      <c r="V26" s="2"/>
      <c r="W26" s="2"/>
      <c r="X26" s="2"/>
      <c r="Y26" s="47"/>
    </row>
    <row r="27" spans="1:25" x14ac:dyDescent="0.3">
      <c r="A27" s="2"/>
      <c r="B27" s="2"/>
      <c r="C27" s="35" t="s">
        <v>28</v>
      </c>
      <c r="D27" s="36"/>
      <c r="E27" s="37">
        <f>E26/1000</f>
        <v>0.141419196</v>
      </c>
      <c r="F27" s="38" t="s">
        <v>13</v>
      </c>
      <c r="G27" s="2"/>
      <c r="H27" s="27" t="s">
        <v>33</v>
      </c>
      <c r="I27" s="2"/>
      <c r="J27" s="2">
        <v>1395</v>
      </c>
      <c r="K27" s="28" t="s">
        <v>14</v>
      </c>
      <c r="L27" s="2"/>
      <c r="M27" s="2"/>
      <c r="N27" s="35" t="s">
        <v>40</v>
      </c>
      <c r="O27" s="56"/>
      <c r="P27" s="56">
        <f>P26/1000</f>
        <v>0.85881005999999993</v>
      </c>
      <c r="Q27" s="38" t="s">
        <v>13</v>
      </c>
      <c r="R27" s="2"/>
      <c r="S27" s="2"/>
      <c r="T27" s="2"/>
      <c r="U27" s="2"/>
      <c r="V27" s="2"/>
      <c r="W27" s="2"/>
      <c r="X27" s="2"/>
      <c r="Y27" s="24"/>
    </row>
    <row r="28" spans="1:25" x14ac:dyDescent="0.3">
      <c r="A28" s="2"/>
      <c r="B28" s="2"/>
      <c r="C28" s="58" t="s">
        <v>30</v>
      </c>
      <c r="D28" s="37"/>
      <c r="E28" s="37">
        <f>3600*E27</f>
        <v>509.10910559999996</v>
      </c>
      <c r="F28" s="39" t="s">
        <v>166</v>
      </c>
      <c r="G28" s="2"/>
      <c r="H28" s="27" t="s">
        <v>15</v>
      </c>
      <c r="I28" s="2"/>
      <c r="J28" s="95">
        <f>J29/J27*1000</f>
        <v>31.003584229390682</v>
      </c>
      <c r="K28" s="28" t="s">
        <v>16</v>
      </c>
      <c r="L28" s="2"/>
      <c r="M28" s="2"/>
      <c r="N28" s="35" t="s">
        <v>30</v>
      </c>
      <c r="O28" s="56"/>
      <c r="P28" s="56">
        <f>3600*P27</f>
        <v>3091.7162159999998</v>
      </c>
      <c r="Q28" s="39" t="s">
        <v>32</v>
      </c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40" t="s">
        <v>31</v>
      </c>
      <c r="D29" s="41"/>
      <c r="E29" s="106">
        <f>E28*24</f>
        <v>12218.618534399999</v>
      </c>
      <c r="F29" s="42" t="s">
        <v>167</v>
      </c>
      <c r="G29" s="2"/>
      <c r="H29" s="27" t="s">
        <v>15</v>
      </c>
      <c r="I29" s="2"/>
      <c r="J29" s="2">
        <v>43.25</v>
      </c>
      <c r="K29" s="28" t="s">
        <v>13</v>
      </c>
      <c r="L29" s="2"/>
      <c r="M29" s="2"/>
      <c r="N29" s="40" t="s">
        <v>31</v>
      </c>
      <c r="O29" s="41"/>
      <c r="P29" s="41">
        <f>P28*24</f>
        <v>74201.189183999988</v>
      </c>
      <c r="Q29" s="42" t="s">
        <v>32</v>
      </c>
      <c r="R29" s="2"/>
      <c r="S29" s="2"/>
      <c r="T29" s="2"/>
      <c r="U29" s="2"/>
      <c r="V29" s="2"/>
      <c r="W29" s="2"/>
      <c r="X29" s="2"/>
      <c r="Y29" s="2"/>
    </row>
    <row r="30" spans="1:25" ht="18" x14ac:dyDescent="0.4">
      <c r="A30" s="2"/>
      <c r="B30" s="2"/>
      <c r="C30" s="89" t="s">
        <v>103</v>
      </c>
      <c r="D30" s="7"/>
      <c r="E30" s="7"/>
      <c r="F30" s="8"/>
      <c r="G30" s="2"/>
      <c r="H30" s="44" t="s">
        <v>34</v>
      </c>
      <c r="I30" s="22"/>
      <c r="J30" s="90">
        <v>8</v>
      </c>
      <c r="K30" s="28" t="s">
        <v>11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50" t="s">
        <v>35</v>
      </c>
      <c r="D31" s="51"/>
      <c r="E31" s="12"/>
      <c r="F31" s="13"/>
      <c r="G31" s="2" t="s">
        <v>41</v>
      </c>
      <c r="H31" s="45" t="s">
        <v>34</v>
      </c>
      <c r="I31" s="46"/>
      <c r="J31" s="91">
        <f>($J$29-$J$29*$J$26)*($J$30/100)</f>
        <v>2.7091799999999999</v>
      </c>
      <c r="K31" s="29" t="s">
        <v>13</v>
      </c>
      <c r="L31" s="2"/>
      <c r="M31" s="2"/>
      <c r="N31" s="50" t="s">
        <v>35</v>
      </c>
      <c r="O31" s="51"/>
      <c r="P31" s="12"/>
      <c r="Q31" s="13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7" t="s">
        <v>36</v>
      </c>
      <c r="D32" s="2"/>
      <c r="E32" s="2">
        <v>61</v>
      </c>
      <c r="F32" s="10" t="s">
        <v>11</v>
      </c>
      <c r="G32" s="2" t="s">
        <v>42</v>
      </c>
      <c r="H32" s="2"/>
      <c r="I32" s="2"/>
      <c r="J32" s="2"/>
      <c r="K32" s="2"/>
      <c r="L32" s="2"/>
      <c r="M32" s="2"/>
      <c r="N32" s="27" t="s">
        <v>36</v>
      </c>
      <c r="O32" s="2"/>
      <c r="P32" s="2">
        <v>76</v>
      </c>
      <c r="Q32" s="10" t="s">
        <v>11</v>
      </c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7" t="s">
        <v>38</v>
      </c>
      <c r="D33" s="2"/>
      <c r="E33" s="2">
        <v>71</v>
      </c>
      <c r="F33" s="10" t="s">
        <v>11</v>
      </c>
      <c r="G33" s="2"/>
      <c r="H33" s="48" t="s">
        <v>44</v>
      </c>
      <c r="I33" s="12">
        <v>57.48</v>
      </c>
      <c r="J33" s="13" t="s">
        <v>11</v>
      </c>
      <c r="K33" s="2"/>
      <c r="L33" s="2"/>
      <c r="M33" s="2"/>
      <c r="N33" s="27" t="s">
        <v>38</v>
      </c>
      <c r="O33" s="2"/>
      <c r="P33" s="2">
        <v>84</v>
      </c>
      <c r="Q33" s="10" t="s">
        <v>11</v>
      </c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7" t="s">
        <v>39</v>
      </c>
      <c r="D34" s="2"/>
      <c r="E34" s="2">
        <v>89</v>
      </c>
      <c r="F34" s="10" t="s">
        <v>11</v>
      </c>
      <c r="G34" s="2"/>
      <c r="H34" s="49" t="s">
        <v>47</v>
      </c>
      <c r="I34" s="18">
        <v>300</v>
      </c>
      <c r="J34" s="19" t="s">
        <v>48</v>
      </c>
      <c r="K34" s="2"/>
      <c r="L34" s="2"/>
      <c r="M34" s="2"/>
      <c r="N34" s="27" t="s">
        <v>39</v>
      </c>
      <c r="O34" s="2"/>
      <c r="P34" s="2">
        <v>90</v>
      </c>
      <c r="Q34" s="10" t="s">
        <v>11</v>
      </c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7" t="s">
        <v>37</v>
      </c>
      <c r="D35" s="2"/>
      <c r="E35" s="2">
        <v>75</v>
      </c>
      <c r="F35" s="10" t="s">
        <v>11</v>
      </c>
      <c r="G35" s="2"/>
      <c r="H35" s="2"/>
      <c r="I35" s="2"/>
      <c r="J35" s="2"/>
      <c r="K35" s="2"/>
      <c r="L35" s="2"/>
      <c r="M35" s="2"/>
      <c r="N35" s="27" t="s">
        <v>37</v>
      </c>
      <c r="O35" s="2"/>
      <c r="P35" s="2">
        <v>70</v>
      </c>
      <c r="Q35" s="10" t="s">
        <v>11</v>
      </c>
      <c r="R35" s="2"/>
      <c r="S35" s="2"/>
      <c r="T35" s="2"/>
      <c r="U35" s="2"/>
      <c r="V35" s="2"/>
      <c r="W35" s="2"/>
      <c r="X35" s="2"/>
      <c r="Y35" s="2"/>
    </row>
    <row r="36" spans="1:25" x14ac:dyDescent="0.3">
      <c r="A36" s="2"/>
      <c r="B36" s="2"/>
      <c r="C36" s="49" t="s">
        <v>111</v>
      </c>
      <c r="D36" s="18"/>
      <c r="E36" s="18">
        <v>82</v>
      </c>
      <c r="F36" s="19" t="s">
        <v>11</v>
      </c>
      <c r="G36" s="2"/>
      <c r="H36" s="2"/>
      <c r="I36" s="2"/>
      <c r="J36" s="2"/>
      <c r="K36" s="2"/>
      <c r="L36" s="2"/>
      <c r="M36" s="2"/>
      <c r="N36" s="49" t="s">
        <v>111</v>
      </c>
      <c r="O36" s="18"/>
      <c r="P36" s="18">
        <v>97</v>
      </c>
      <c r="Q36" s="19" t="s">
        <v>11</v>
      </c>
      <c r="R36" s="2"/>
      <c r="S36" s="2"/>
      <c r="T36" s="2"/>
      <c r="U36" s="2"/>
      <c r="V36" s="2"/>
      <c r="W36" s="2"/>
      <c r="X36" s="2"/>
      <c r="Y36" s="2"/>
    </row>
    <row r="37" spans="1:25" x14ac:dyDescent="0.3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3">
      <c r="A38" s="2"/>
      <c r="B38" s="2"/>
      <c r="C38" s="50" t="s">
        <v>35</v>
      </c>
      <c r="D38" s="51"/>
      <c r="E38" s="12"/>
      <c r="F38" s="13"/>
      <c r="G38" s="2"/>
      <c r="H38" s="48" t="s">
        <v>57</v>
      </c>
      <c r="I38" s="12">
        <v>660</v>
      </c>
      <c r="J38" s="13" t="s">
        <v>48</v>
      </c>
      <c r="K38" s="2" t="s">
        <v>56</v>
      </c>
      <c r="L38" s="2"/>
      <c r="M38" s="2"/>
      <c r="N38" s="50" t="s">
        <v>43</v>
      </c>
      <c r="O38" s="51"/>
      <c r="P38" s="51"/>
      <c r="Q38" s="13"/>
      <c r="R38" s="2"/>
      <c r="S38" s="2"/>
      <c r="T38" s="2"/>
      <c r="U38" s="2"/>
      <c r="V38" s="2"/>
      <c r="W38" s="2"/>
      <c r="X38" s="2"/>
      <c r="Y38" s="2"/>
    </row>
    <row r="39" spans="1:25" x14ac:dyDescent="0.3">
      <c r="A39" s="2"/>
      <c r="B39" s="2"/>
      <c r="C39" s="27" t="s">
        <v>36</v>
      </c>
      <c r="E39" s="52">
        <f>$E$29*E32%</f>
        <v>7453.3573059839991</v>
      </c>
      <c r="F39" s="10" t="s">
        <v>32</v>
      </c>
      <c r="G39" s="2"/>
      <c r="H39" s="27" t="s">
        <v>82</v>
      </c>
      <c r="I39" s="2">
        <v>349</v>
      </c>
      <c r="J39" s="10" t="s">
        <v>48</v>
      </c>
      <c r="K39" s="2" t="s">
        <v>143</v>
      </c>
      <c r="L39" s="2"/>
      <c r="M39" s="2"/>
      <c r="N39" s="27" t="s">
        <v>36</v>
      </c>
      <c r="O39" s="2"/>
      <c r="P39" s="52">
        <f>$P$29*P32%</f>
        <v>56392.903779839995</v>
      </c>
      <c r="Q39" s="10" t="s">
        <v>32</v>
      </c>
      <c r="R39" s="2"/>
      <c r="S39" s="2"/>
      <c r="T39" s="2"/>
      <c r="U39" s="2"/>
      <c r="V39" s="2"/>
      <c r="W39" s="2"/>
      <c r="X39" s="2"/>
      <c r="Y39" s="2"/>
    </row>
    <row r="40" spans="1:25" x14ac:dyDescent="0.3">
      <c r="A40" s="2"/>
      <c r="B40" s="2"/>
      <c r="C40" s="27" t="s">
        <v>38</v>
      </c>
      <c r="D40" s="2"/>
      <c r="E40" s="52">
        <f>$E$29*E33%</f>
        <v>8675.2191594239994</v>
      </c>
      <c r="F40" s="10" t="s">
        <v>32</v>
      </c>
      <c r="G40" s="2"/>
      <c r="H40" s="27" t="s">
        <v>83</v>
      </c>
      <c r="I40" s="2">
        <v>1338</v>
      </c>
      <c r="J40" s="10" t="s">
        <v>48</v>
      </c>
      <c r="K40" s="2" t="s">
        <v>84</v>
      </c>
      <c r="L40" s="2"/>
      <c r="M40" s="2"/>
      <c r="N40" s="27" t="s">
        <v>38</v>
      </c>
      <c r="O40" s="2"/>
      <c r="P40" s="52">
        <f>$P$29*P33%</f>
        <v>62328.99891455999</v>
      </c>
      <c r="Q40" s="10" t="s">
        <v>32</v>
      </c>
      <c r="R40" s="2"/>
      <c r="S40" s="2"/>
      <c r="T40" s="2"/>
      <c r="U40" s="2"/>
      <c r="V40" s="2"/>
      <c r="W40" s="2"/>
      <c r="X40" s="2"/>
      <c r="Y40" s="2"/>
    </row>
    <row r="41" spans="1:25" x14ac:dyDescent="0.3">
      <c r="A41" s="2"/>
      <c r="B41" s="2"/>
      <c r="C41" s="27" t="s">
        <v>39</v>
      </c>
      <c r="D41" s="2"/>
      <c r="E41" s="52">
        <f>$E$29*E34%</f>
        <v>10874.570495615999</v>
      </c>
      <c r="F41" s="10" t="s">
        <v>32</v>
      </c>
      <c r="G41" s="2"/>
      <c r="H41" s="49" t="s">
        <v>85</v>
      </c>
      <c r="I41" s="18">
        <v>814</v>
      </c>
      <c r="J41" s="19" t="s">
        <v>48</v>
      </c>
      <c r="K41" s="2" t="s">
        <v>142</v>
      </c>
      <c r="L41" s="2"/>
      <c r="M41" s="2"/>
      <c r="N41" s="27" t="s">
        <v>39</v>
      </c>
      <c r="O41" s="2"/>
      <c r="P41" s="52">
        <f>$P$29*P34%</f>
        <v>66781.070265599992</v>
      </c>
      <c r="Q41" s="10" t="s">
        <v>32</v>
      </c>
      <c r="R41" s="2"/>
      <c r="S41" s="2"/>
      <c r="T41" s="2"/>
      <c r="U41" s="2"/>
      <c r="V41" s="2"/>
      <c r="W41" s="2"/>
      <c r="X41" s="2"/>
      <c r="Y41" s="2"/>
    </row>
    <row r="42" spans="1:25" x14ac:dyDescent="0.3">
      <c r="A42" s="2"/>
      <c r="B42" s="2"/>
      <c r="C42" s="27" t="s">
        <v>37</v>
      </c>
      <c r="D42" s="2"/>
      <c r="E42" s="52">
        <f>$E$29*E35%</f>
        <v>9163.9639007999995</v>
      </c>
      <c r="F42" s="10" t="s">
        <v>32</v>
      </c>
      <c r="G42" s="2"/>
      <c r="H42" s="2"/>
      <c r="I42" s="2"/>
      <c r="J42" s="2"/>
      <c r="K42" s="2"/>
      <c r="L42" s="2"/>
      <c r="M42" s="2"/>
      <c r="N42" s="27" t="s">
        <v>37</v>
      </c>
      <c r="O42" s="2"/>
      <c r="P42" s="52">
        <f>$P$29*P35%</f>
        <v>51940.832428799986</v>
      </c>
      <c r="Q42" s="10" t="s">
        <v>32</v>
      </c>
      <c r="R42" s="2"/>
      <c r="S42" s="2"/>
      <c r="T42" s="2"/>
      <c r="U42" s="2"/>
      <c r="V42" s="2"/>
      <c r="W42" s="2"/>
      <c r="X42" s="2"/>
      <c r="Y42" s="2"/>
    </row>
    <row r="43" spans="1:25" x14ac:dyDescent="0.3">
      <c r="A43" s="2"/>
      <c r="B43" s="2"/>
      <c r="C43" s="49" t="s">
        <v>111</v>
      </c>
      <c r="D43" s="18"/>
      <c r="E43" s="53">
        <f>$E$29*E36%</f>
        <v>10019.267198207999</v>
      </c>
      <c r="F43" s="19" t="s">
        <v>32</v>
      </c>
      <c r="G43" s="2"/>
      <c r="H43" s="2"/>
      <c r="I43" s="2"/>
      <c r="J43" s="2"/>
      <c r="K43" s="2"/>
      <c r="L43" s="2"/>
      <c r="M43" s="2"/>
      <c r="N43" s="49" t="s">
        <v>111</v>
      </c>
      <c r="O43" s="18"/>
      <c r="P43" s="53">
        <f>$P$29*P36%</f>
        <v>71975.153508479983</v>
      </c>
      <c r="Q43" s="19" t="s">
        <v>32</v>
      </c>
      <c r="R43" s="2"/>
      <c r="S43" s="2"/>
      <c r="T43" s="2"/>
      <c r="U43" s="2"/>
      <c r="V43" s="2"/>
      <c r="W43" s="2"/>
      <c r="X43" s="2"/>
      <c r="Y43" s="2"/>
    </row>
    <row r="44" spans="1:25" ht="18" x14ac:dyDescent="0.4">
      <c r="A44" s="2"/>
      <c r="B44" s="2"/>
      <c r="C44" s="88" t="s">
        <v>104</v>
      </c>
      <c r="D44" s="2"/>
      <c r="E44" s="2"/>
      <c r="F44" s="2"/>
      <c r="G44" s="2"/>
      <c r="H44" s="88" t="s">
        <v>105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3">
      <c r="A45" s="2"/>
      <c r="B45" s="2"/>
      <c r="C45" s="50" t="s">
        <v>50</v>
      </c>
      <c r="D45" s="12"/>
      <c r="E45" s="12"/>
      <c r="F45" s="13"/>
      <c r="G45" s="2"/>
      <c r="H45" s="48" t="s">
        <v>154</v>
      </c>
      <c r="I45" s="12"/>
      <c r="J45" s="12"/>
      <c r="K45" s="13" t="s">
        <v>155</v>
      </c>
      <c r="L45" s="2"/>
      <c r="M45" s="2"/>
      <c r="N45" s="50" t="s">
        <v>45</v>
      </c>
      <c r="O45" s="51"/>
      <c r="P45" s="12"/>
      <c r="Q45" s="13"/>
      <c r="R45" s="2"/>
      <c r="S45" s="2"/>
      <c r="T45" s="2"/>
      <c r="U45" s="2"/>
      <c r="V45" s="2"/>
      <c r="W45" s="2"/>
      <c r="X45" s="2"/>
      <c r="Y45" s="2"/>
    </row>
    <row r="46" spans="1:25" x14ac:dyDescent="0.3">
      <c r="A46" s="2"/>
      <c r="B46" s="2"/>
      <c r="C46" s="27" t="s">
        <v>51</v>
      </c>
      <c r="D46" s="2"/>
      <c r="E46" s="2">
        <v>32.799999999999997</v>
      </c>
      <c r="F46" s="10" t="s">
        <v>11</v>
      </c>
      <c r="G46" s="2"/>
      <c r="H46" s="27" t="s">
        <v>88</v>
      </c>
      <c r="I46" s="2">
        <v>0</v>
      </c>
      <c r="J46" s="2" t="s">
        <v>11</v>
      </c>
      <c r="K46" s="10">
        <f>(39.098+15.99+1.0079)/1000</f>
        <v>5.6095899999999997E-2</v>
      </c>
      <c r="L46" s="2"/>
      <c r="M46" s="2"/>
      <c r="N46" s="27" t="s">
        <v>36</v>
      </c>
      <c r="O46" s="2"/>
      <c r="P46" s="52">
        <f>P39/$I$33%/1000</f>
        <v>98.108740048434242</v>
      </c>
      <c r="Q46" s="10" t="s">
        <v>49</v>
      </c>
      <c r="R46" s="2"/>
      <c r="S46" s="2"/>
      <c r="T46" s="2"/>
      <c r="U46" s="2"/>
      <c r="V46" s="2"/>
      <c r="W46" s="2"/>
      <c r="X46" s="2"/>
      <c r="Y46" s="2"/>
    </row>
    <row r="47" spans="1:25" x14ac:dyDescent="0.3">
      <c r="A47" s="2"/>
      <c r="B47" s="2"/>
      <c r="C47" s="27" t="s">
        <v>52</v>
      </c>
      <c r="D47" s="2"/>
      <c r="E47" s="2">
        <f>2*E46</f>
        <v>65.599999999999994</v>
      </c>
      <c r="F47" s="10" t="s">
        <v>11</v>
      </c>
      <c r="G47" s="2" t="s">
        <v>59</v>
      </c>
      <c r="H47" s="27" t="s">
        <v>89</v>
      </c>
      <c r="I47" s="2">
        <v>1.4</v>
      </c>
      <c r="J47" s="2" t="s">
        <v>11</v>
      </c>
      <c r="K47" s="10">
        <f>(39.098+35.45)/1000</f>
        <v>7.4548000000000003E-2</v>
      </c>
      <c r="L47" s="2"/>
      <c r="M47" s="2"/>
      <c r="N47" s="27" t="s">
        <v>38</v>
      </c>
      <c r="O47" s="2"/>
      <c r="P47" s="52">
        <f>P40/$I$33%/1000</f>
        <v>108.43597584300625</v>
      </c>
      <c r="Q47" s="10" t="s">
        <v>49</v>
      </c>
      <c r="R47" s="2"/>
      <c r="S47" s="2"/>
      <c r="T47" s="2"/>
      <c r="U47" s="2"/>
      <c r="V47" s="2"/>
      <c r="W47" s="2"/>
      <c r="X47" s="2"/>
      <c r="Y47" s="2"/>
    </row>
    <row r="48" spans="1:25" x14ac:dyDescent="0.3">
      <c r="A48" s="2"/>
      <c r="B48" s="2"/>
      <c r="C48" s="27" t="s">
        <v>121</v>
      </c>
      <c r="D48" s="2"/>
      <c r="E48" s="2">
        <v>88.2</v>
      </c>
      <c r="F48" s="10" t="s">
        <v>11</v>
      </c>
      <c r="G48" s="2" t="s">
        <v>60</v>
      </c>
      <c r="H48" s="27" t="s">
        <v>90</v>
      </c>
      <c r="I48" s="1">
        <v>17.7</v>
      </c>
      <c r="J48" s="2" t="s">
        <v>11</v>
      </c>
      <c r="K48" s="10">
        <f>(2*39.098+12.011+3*15.999)/1000</f>
        <v>0.13820400000000002</v>
      </c>
      <c r="L48" s="2"/>
      <c r="M48" s="2"/>
      <c r="N48" s="27" t="s">
        <v>39</v>
      </c>
      <c r="O48" s="2"/>
      <c r="P48" s="52">
        <f>P41/$I$33%/1000</f>
        <v>116.18140268893526</v>
      </c>
      <c r="Q48" s="10" t="s">
        <v>49</v>
      </c>
      <c r="R48" s="2"/>
      <c r="S48" s="2"/>
      <c r="T48" s="2"/>
      <c r="U48" s="2"/>
      <c r="V48" s="2"/>
      <c r="W48" s="2"/>
      <c r="X48" s="2"/>
      <c r="Y48" s="2"/>
    </row>
    <row r="49" spans="1:25" x14ac:dyDescent="0.3">
      <c r="A49" s="2"/>
      <c r="B49" s="2"/>
      <c r="C49" s="49" t="s">
        <v>61</v>
      </c>
      <c r="D49" s="18"/>
      <c r="E49" s="18">
        <v>95.37</v>
      </c>
      <c r="F49" s="19" t="s">
        <v>11</v>
      </c>
      <c r="G49" s="2"/>
      <c r="H49" s="49" t="s">
        <v>91</v>
      </c>
      <c r="I49" s="18">
        <v>80.900000000000006</v>
      </c>
      <c r="J49" s="18" t="s">
        <v>11</v>
      </c>
      <c r="K49" s="19">
        <f>(2*39.098+32.06+4*15.999)/1000</f>
        <v>0.17425200000000002</v>
      </c>
      <c r="L49" s="2"/>
      <c r="M49" s="2"/>
      <c r="N49" s="27" t="s">
        <v>37</v>
      </c>
      <c r="O49" s="2"/>
      <c r="P49" s="52">
        <f>P42/$I$33%/1000</f>
        <v>90.363313202505211</v>
      </c>
      <c r="Q49" s="10" t="s">
        <v>49</v>
      </c>
      <c r="R49" s="2"/>
      <c r="S49" s="2"/>
      <c r="T49" s="2"/>
      <c r="U49" s="2"/>
      <c r="V49" s="2"/>
      <c r="W49" s="2"/>
      <c r="X49" s="2"/>
      <c r="Y49" s="2"/>
    </row>
    <row r="50" spans="1:2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49" t="s">
        <v>111</v>
      </c>
      <c r="O50" s="18"/>
      <c r="P50" s="53">
        <f>P43/$I$33%/1000</f>
        <v>125.21773400918578</v>
      </c>
      <c r="Q50" s="19" t="s">
        <v>49</v>
      </c>
      <c r="R50" s="2"/>
      <c r="S50" s="2"/>
      <c r="T50" s="2"/>
      <c r="U50" s="2"/>
      <c r="V50" s="2"/>
      <c r="W50" s="2"/>
      <c r="X50" s="2"/>
      <c r="Y50" s="2"/>
    </row>
    <row r="51" spans="1:25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3">
      <c r="A52" s="2"/>
      <c r="B52" s="2"/>
      <c r="C52" s="2"/>
      <c r="D52" s="2"/>
      <c r="E52" s="2"/>
      <c r="F52" s="2"/>
      <c r="G52" s="2"/>
      <c r="H52" s="48" t="s">
        <v>157</v>
      </c>
      <c r="I52" s="12" t="s">
        <v>156</v>
      </c>
      <c r="J52" s="13" t="s">
        <v>160</v>
      </c>
      <c r="K52" s="2"/>
      <c r="L52" s="2"/>
      <c r="M52" s="2"/>
      <c r="N52" s="50" t="s">
        <v>45</v>
      </c>
      <c r="O52" s="51"/>
      <c r="P52" s="12"/>
      <c r="Q52" s="13"/>
      <c r="R52" s="2"/>
      <c r="S52" s="2"/>
      <c r="T52" s="2"/>
      <c r="U52" s="2"/>
      <c r="V52" s="2"/>
      <c r="W52" s="2"/>
      <c r="X52" s="2"/>
      <c r="Y52" s="2"/>
    </row>
    <row r="53" spans="1:25" x14ac:dyDescent="0.3">
      <c r="A53" s="2"/>
      <c r="B53" s="2"/>
      <c r="C53" s="2"/>
      <c r="D53" s="2"/>
      <c r="E53" s="2"/>
      <c r="F53" s="2"/>
      <c r="G53" s="2"/>
      <c r="H53" s="27" t="s">
        <v>88</v>
      </c>
      <c r="I53" s="2">
        <f>I46*$E$29/100</f>
        <v>0</v>
      </c>
      <c r="J53" s="10">
        <f>(39.098/1000)/K46</f>
        <v>0.69698498464237146</v>
      </c>
      <c r="K53" s="2"/>
      <c r="L53" s="2"/>
      <c r="M53" s="2"/>
      <c r="N53" s="27" t="s">
        <v>36</v>
      </c>
      <c r="O53" s="2"/>
      <c r="P53" s="52">
        <f>$I$34*P46</f>
        <v>29432.622014530272</v>
      </c>
      <c r="Q53" s="10" t="s">
        <v>46</v>
      </c>
      <c r="R53" s="2"/>
      <c r="S53" s="2"/>
      <c r="T53" s="2"/>
      <c r="U53" s="2"/>
      <c r="V53" s="2"/>
      <c r="W53" s="2"/>
      <c r="X53" s="2"/>
      <c r="Y53" s="2"/>
    </row>
    <row r="54" spans="1:25" x14ac:dyDescent="0.3">
      <c r="A54" s="2"/>
      <c r="B54" s="2"/>
      <c r="C54" s="2"/>
      <c r="D54" s="2"/>
      <c r="E54" s="2"/>
      <c r="F54" s="2"/>
      <c r="G54" s="2"/>
      <c r="H54" s="27" t="s">
        <v>89</v>
      </c>
      <c r="I54" s="2">
        <f>I47*$E$29/100</f>
        <v>171.06065948159997</v>
      </c>
      <c r="J54" s="10">
        <f>(39.098/1000)/K47</f>
        <v>0.52446745720877819</v>
      </c>
      <c r="K54" s="2"/>
      <c r="L54" s="2"/>
      <c r="M54" s="2"/>
      <c r="N54" s="27" t="s">
        <v>38</v>
      </c>
      <c r="O54" s="2"/>
      <c r="P54" s="52">
        <f>$I$34*P47</f>
        <v>32530.792752901874</v>
      </c>
      <c r="Q54" s="10" t="s">
        <v>46</v>
      </c>
      <c r="R54" s="2"/>
      <c r="S54" s="2"/>
      <c r="T54" s="2"/>
      <c r="U54" s="2"/>
      <c r="V54" s="2"/>
      <c r="W54" s="2"/>
      <c r="X54" s="2"/>
      <c r="Y54" s="2"/>
    </row>
    <row r="55" spans="1:25" x14ac:dyDescent="0.3">
      <c r="A55" s="2"/>
      <c r="B55" s="2"/>
      <c r="C55" s="2"/>
      <c r="D55" s="2"/>
      <c r="E55" s="2"/>
      <c r="F55" s="2"/>
      <c r="G55" s="2"/>
      <c r="H55" s="27" t="s">
        <v>90</v>
      </c>
      <c r="I55" s="2">
        <f>I48*$E$29/100</f>
        <v>2162.6954805887999</v>
      </c>
      <c r="J55" s="10">
        <f>(2*39.098/1000)/K48</f>
        <v>0.56580127926832791</v>
      </c>
      <c r="K55" s="2"/>
      <c r="L55" s="2"/>
      <c r="M55" s="2"/>
      <c r="N55" s="27" t="s">
        <v>39</v>
      </c>
      <c r="O55" s="2"/>
      <c r="P55" s="52">
        <f>$I$34*P48</f>
        <v>34854.42080668058</v>
      </c>
      <c r="Q55" s="10" t="s">
        <v>46</v>
      </c>
      <c r="R55" s="2"/>
      <c r="S55" s="2"/>
      <c r="T55" s="2"/>
      <c r="U55" s="2"/>
      <c r="V55" s="2"/>
      <c r="W55" s="2"/>
      <c r="X55" s="2"/>
      <c r="Y55" s="2"/>
    </row>
    <row r="56" spans="1:25" x14ac:dyDescent="0.3">
      <c r="A56" s="2"/>
      <c r="B56" s="2"/>
      <c r="C56" s="2"/>
      <c r="D56" s="2"/>
      <c r="E56" s="2"/>
      <c r="F56" s="2"/>
      <c r="G56" s="2"/>
      <c r="H56" s="49" t="s">
        <v>91</v>
      </c>
      <c r="I56" s="18">
        <f>I49*$E$29/100</f>
        <v>9884.8623943295988</v>
      </c>
      <c r="J56" s="19">
        <f>(2*39.098/1000)/K49</f>
        <v>0.44875238160824549</v>
      </c>
      <c r="K56" s="2"/>
      <c r="L56" s="2"/>
      <c r="M56" s="2"/>
      <c r="N56" s="27" t="s">
        <v>37</v>
      </c>
      <c r="O56" s="2"/>
      <c r="P56" s="52">
        <f>$I$34*P49</f>
        <v>27108.993960751563</v>
      </c>
      <c r="Q56" s="10" t="s">
        <v>46</v>
      </c>
      <c r="R56" s="2"/>
      <c r="S56" s="2"/>
    </row>
    <row r="57" spans="1:2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9" t="s">
        <v>111</v>
      </c>
      <c r="O57" s="18"/>
      <c r="P57" s="53">
        <f>$I$34*P50</f>
        <v>37565.320202755734</v>
      </c>
      <c r="Q57" s="19" t="s">
        <v>46</v>
      </c>
      <c r="R57" s="2"/>
      <c r="S57" s="2"/>
    </row>
    <row r="58" spans="1:25" x14ac:dyDescent="0.3">
      <c r="A58" s="2"/>
      <c r="B58" s="2"/>
      <c r="C58" s="2"/>
      <c r="D58" s="2"/>
      <c r="E58" s="2"/>
      <c r="F58" s="2"/>
      <c r="G58" s="2"/>
      <c r="H58" s="48" t="s">
        <v>158</v>
      </c>
      <c r="I58" s="123" t="s">
        <v>159</v>
      </c>
      <c r="J58" s="13" t="s">
        <v>161</v>
      </c>
      <c r="K58" s="2"/>
      <c r="L58" s="2"/>
      <c r="M58" s="2"/>
      <c r="N58" s="2"/>
      <c r="O58" s="2"/>
      <c r="P58" s="2"/>
      <c r="Q58" s="2"/>
      <c r="R58" s="2"/>
      <c r="S58" s="2"/>
    </row>
    <row r="59" spans="1:25" x14ac:dyDescent="0.3">
      <c r="A59" s="2"/>
      <c r="B59" s="2"/>
      <c r="C59" s="2"/>
      <c r="D59" s="2"/>
      <c r="E59" s="2"/>
      <c r="F59" s="2"/>
      <c r="G59" s="2"/>
      <c r="H59" s="27" t="s">
        <v>88</v>
      </c>
      <c r="I59" s="52">
        <f>I53/J53</f>
        <v>0</v>
      </c>
      <c r="J59" s="10">
        <f>I59/$I$63</f>
        <v>0</v>
      </c>
      <c r="K59" s="2"/>
      <c r="L59" s="2"/>
      <c r="M59" s="2"/>
      <c r="N59" s="2"/>
      <c r="O59" s="2"/>
      <c r="P59" s="2"/>
      <c r="Q59" s="2"/>
      <c r="R59" s="2"/>
      <c r="S59" s="2"/>
    </row>
    <row r="60" spans="1:25" x14ac:dyDescent="0.3">
      <c r="A60" s="2"/>
      <c r="B60" s="2"/>
      <c r="C60" s="2"/>
      <c r="D60" s="2"/>
      <c r="E60" s="2"/>
      <c r="F60" s="2"/>
      <c r="G60" s="2"/>
      <c r="H60" s="27" t="s">
        <v>89</v>
      </c>
      <c r="I60" s="52">
        <f>I54/J54</f>
        <v>326.16067428089201</v>
      </c>
      <c r="J60" s="10">
        <f>I60/$I$63</f>
        <v>1.2460318009886857E-2</v>
      </c>
      <c r="K60" s="2"/>
      <c r="L60" s="2"/>
      <c r="M60" s="2"/>
      <c r="N60" s="2"/>
      <c r="O60" s="2"/>
      <c r="P60" s="2"/>
      <c r="Q60" s="2"/>
      <c r="R60" s="2"/>
      <c r="S60" s="2"/>
    </row>
    <row r="61" spans="1:25" x14ac:dyDescent="0.3">
      <c r="A61" s="2"/>
      <c r="B61" s="2"/>
      <c r="C61" s="2"/>
      <c r="D61" s="2"/>
      <c r="E61" s="2"/>
      <c r="F61" s="2"/>
      <c r="G61" s="2"/>
      <c r="H61" s="27" t="s">
        <v>90</v>
      </c>
      <c r="I61" s="52">
        <f>I55/J55</f>
        <v>3822.3587677028818</v>
      </c>
      <c r="J61" s="10">
        <f t="shared" ref="J61:J62" si="3">I61/$I$63</f>
        <v>0.14602559274954077</v>
      </c>
      <c r="K61" s="2"/>
      <c r="L61" s="2"/>
      <c r="M61" s="2"/>
      <c r="N61" s="2"/>
      <c r="O61" s="2"/>
      <c r="P61" s="2"/>
      <c r="Q61" s="2"/>
      <c r="R61" s="2"/>
      <c r="S61" s="2"/>
    </row>
    <row r="62" spans="1:25" x14ac:dyDescent="0.3">
      <c r="A62" s="2"/>
      <c r="B62" s="2"/>
      <c r="C62" s="2"/>
      <c r="D62" s="2"/>
      <c r="E62" s="2"/>
      <c r="F62" s="2"/>
      <c r="G62" s="2"/>
      <c r="H62" s="27" t="s">
        <v>91</v>
      </c>
      <c r="I62" s="52">
        <f t="shared" ref="I62" si="4">I56/J56</f>
        <v>22027.431606945644</v>
      </c>
      <c r="J62" s="10">
        <f t="shared" si="3"/>
        <v>0.84151408924057236</v>
      </c>
      <c r="K62" s="2"/>
      <c r="L62" s="2"/>
      <c r="M62" s="2"/>
      <c r="N62" s="2"/>
      <c r="O62" s="2"/>
      <c r="P62" s="2"/>
      <c r="Q62" s="2"/>
      <c r="R62" s="2"/>
      <c r="S62" s="2"/>
    </row>
    <row r="63" spans="1:25" x14ac:dyDescent="0.3">
      <c r="A63" s="2"/>
      <c r="B63" s="2"/>
      <c r="C63" s="2"/>
      <c r="D63" s="2"/>
      <c r="E63" s="2"/>
      <c r="F63" s="2"/>
      <c r="G63" s="2"/>
      <c r="H63" s="49" t="s">
        <v>78</v>
      </c>
      <c r="I63" s="53">
        <f>SUM(I59:I62)</f>
        <v>26175.951048929419</v>
      </c>
      <c r="J63" s="122">
        <f>SUM(J59:J62)</f>
        <v>1</v>
      </c>
      <c r="K63" s="2"/>
      <c r="L63" s="2"/>
      <c r="M63" s="2"/>
      <c r="N63" s="2"/>
      <c r="O63" s="2"/>
      <c r="P63" s="2"/>
      <c r="Q63" s="2"/>
      <c r="R63" s="2"/>
      <c r="S63" s="2"/>
    </row>
    <row r="64" spans="1:2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</row>
    <row r="65" spans="1:26" x14ac:dyDescent="0.3">
      <c r="A65" s="2"/>
      <c r="B65" s="2"/>
      <c r="C65" s="55" t="s">
        <v>53</v>
      </c>
      <c r="D65" s="54"/>
      <c r="E65" s="54"/>
      <c r="F65" s="57"/>
      <c r="G65" s="2"/>
      <c r="H65" s="75" t="s">
        <v>57</v>
      </c>
      <c r="I65" s="76" t="s">
        <v>82</v>
      </c>
      <c r="J65" s="76" t="s">
        <v>83</v>
      </c>
      <c r="K65" s="76" t="s">
        <v>85</v>
      </c>
      <c r="L65" s="83" t="s">
        <v>92</v>
      </c>
      <c r="M65" s="2"/>
      <c r="N65" s="2"/>
      <c r="O65" s="2"/>
      <c r="P65" s="2"/>
      <c r="Q65" s="2"/>
      <c r="R65" s="2"/>
      <c r="S65" s="2"/>
    </row>
    <row r="66" spans="1:26" x14ac:dyDescent="0.3">
      <c r="A66" s="2"/>
      <c r="B66" s="2"/>
      <c r="C66" s="27" t="str">
        <f>C46</f>
        <v>MER zeolite membrane</v>
      </c>
      <c r="D66" s="2"/>
      <c r="E66" s="52">
        <f>E46/100*$E$39</f>
        <v>2444.7011963627515</v>
      </c>
      <c r="F66" s="10" t="s">
        <v>32</v>
      </c>
      <c r="G66" s="2"/>
      <c r="H66" s="77">
        <f>E66/1000*$I$46/100/$J$53*$I$38</f>
        <v>0</v>
      </c>
      <c r="I66" s="78">
        <f>E66/1000*$I$47/100/$J$54*$I$39</f>
        <v>22.775121470832183</v>
      </c>
      <c r="J66" s="78">
        <f>E66/1000*$I$48/100/$J$55*$I$40</f>
        <v>1023.272351519786</v>
      </c>
      <c r="K66" s="78">
        <f>E66/1000*$I$49/100/$J$56*$I$41</f>
        <v>3587.5002919569947</v>
      </c>
      <c r="L66" s="84">
        <f>SUM(H66:K66)</f>
        <v>4633.5477649476124</v>
      </c>
      <c r="M66" s="2"/>
      <c r="N66" s="2"/>
      <c r="O66" s="2"/>
      <c r="P66" s="2"/>
      <c r="Q66" s="2"/>
      <c r="R66" s="2"/>
      <c r="S66" s="2"/>
    </row>
    <row r="67" spans="1:26" x14ac:dyDescent="0.3">
      <c r="A67" s="2"/>
      <c r="B67" s="2"/>
      <c r="C67" s="27" t="str">
        <f>C47</f>
        <v>MER zeolite membrane *</v>
      </c>
      <c r="D67" s="2"/>
      <c r="E67" s="52">
        <f>E47/100*$E$39</f>
        <v>4889.402392725503</v>
      </c>
      <c r="F67" s="10" t="s">
        <v>32</v>
      </c>
      <c r="G67" s="2"/>
      <c r="H67" s="77">
        <f t="shared" ref="H67:H68" si="5">E67/1000*$I$46/100/$J$53*$I$38</f>
        <v>0</v>
      </c>
      <c r="I67" s="78">
        <f t="shared" ref="I67:I69" si="6">E67/1000*$I$47/100/$J$54*$I$39</f>
        <v>45.550242941664365</v>
      </c>
      <c r="J67" s="78">
        <f t="shared" ref="J67:J69" si="7">E67/1000*$I$48/100/$J$55*$I$40</f>
        <v>2046.5447030395719</v>
      </c>
      <c r="K67" s="78">
        <f t="shared" ref="K67:K68" si="8">E67/1000*$I$49/100/$J$56*$I$41</f>
        <v>7175.0005839139894</v>
      </c>
      <c r="L67" s="84">
        <f t="shared" ref="L67:L68" si="9">SUM(H67:K67)</f>
        <v>9267.0955298952249</v>
      </c>
      <c r="M67" s="2"/>
      <c r="N67" s="2"/>
      <c r="O67" s="2"/>
      <c r="P67" s="2"/>
      <c r="Q67" s="2"/>
      <c r="R67" s="2"/>
      <c r="S67" s="2"/>
    </row>
    <row r="68" spans="1:26" x14ac:dyDescent="0.3">
      <c r="A68" s="2"/>
      <c r="B68" s="2"/>
      <c r="C68" s="27" t="str">
        <f>C48</f>
        <v>Zhong et al. (liuotus ja kuivatus)</v>
      </c>
      <c r="D68" s="2"/>
      <c r="E68" s="52">
        <f>E48/100*$E$39</f>
        <v>6573.8611438778871</v>
      </c>
      <c r="F68" s="10" t="s">
        <v>32</v>
      </c>
      <c r="G68" s="2"/>
      <c r="H68" s="77">
        <f t="shared" si="5"/>
        <v>0</v>
      </c>
      <c r="I68" s="78">
        <f t="shared" si="6"/>
        <v>61.242857125835329</v>
      </c>
      <c r="J68" s="78">
        <f t="shared" si="7"/>
        <v>2751.6043110989358</v>
      </c>
      <c r="K68" s="78">
        <f t="shared" si="8"/>
        <v>9646.8757850794809</v>
      </c>
      <c r="L68" s="84">
        <f t="shared" si="9"/>
        <v>12459.722953304252</v>
      </c>
      <c r="M68" s="2"/>
      <c r="N68" s="2"/>
      <c r="O68" s="2"/>
      <c r="P68" s="2"/>
      <c r="Q68" s="2"/>
      <c r="R68" s="2"/>
      <c r="S68" s="2"/>
    </row>
    <row r="69" spans="1:26" x14ac:dyDescent="0.3">
      <c r="A69" s="2"/>
      <c r="B69" s="2"/>
      <c r="C69" s="49" t="str">
        <f>C49</f>
        <v>Pan et al. (liuotus, uutto, elektrolyysi)</v>
      </c>
      <c r="D69" s="18"/>
      <c r="E69" s="53">
        <f>E49/100*$E$39</f>
        <v>7108.2668627169396</v>
      </c>
      <c r="F69" s="19" t="s">
        <v>32</v>
      </c>
      <c r="G69" s="2"/>
      <c r="H69" s="79">
        <f>E69/1000*$I$46/100/$J$53*$I$38</f>
        <v>0</v>
      </c>
      <c r="I69" s="80">
        <f t="shared" si="6"/>
        <v>66.221443130282481</v>
      </c>
      <c r="J69" s="80">
        <f t="shared" si="7"/>
        <v>2975.289151354938</v>
      </c>
      <c r="K69" s="80">
        <f>E69/1000*$I$49/100/$J$56*$I$41</f>
        <v>10431.094598900565</v>
      </c>
      <c r="L69" s="85">
        <f>SUM(H69:K69)</f>
        <v>13472.605193385785</v>
      </c>
      <c r="M69" s="2"/>
      <c r="N69" s="2"/>
      <c r="O69" s="2"/>
      <c r="P69" s="2"/>
      <c r="Q69" s="2"/>
      <c r="R69" s="2"/>
      <c r="S69" s="2"/>
    </row>
    <row r="70" spans="1:26" x14ac:dyDescent="0.3">
      <c r="A70" s="2"/>
      <c r="B70" s="2"/>
      <c r="C70" s="2"/>
      <c r="D70" s="2"/>
      <c r="E70" s="2"/>
      <c r="F70" s="2"/>
      <c r="G70" s="2"/>
      <c r="H70" s="47"/>
      <c r="I70" s="47"/>
      <c r="J70" s="47"/>
      <c r="K70" s="47"/>
      <c r="L70" s="86"/>
      <c r="M70" s="2"/>
      <c r="N70" s="2"/>
      <c r="O70" s="2"/>
      <c r="P70" s="2"/>
      <c r="Q70" s="2"/>
      <c r="R70" s="2"/>
      <c r="S70" s="2"/>
    </row>
    <row r="71" spans="1:26" x14ac:dyDescent="0.3">
      <c r="A71" s="2"/>
      <c r="B71" s="2"/>
      <c r="C71" s="55" t="s">
        <v>54</v>
      </c>
      <c r="D71" s="54"/>
      <c r="E71" s="54"/>
      <c r="F71" s="57"/>
      <c r="G71" s="2"/>
      <c r="H71" s="81" t="s">
        <v>57</v>
      </c>
      <c r="I71" s="82" t="s">
        <v>82</v>
      </c>
      <c r="J71" s="76" t="s">
        <v>83</v>
      </c>
      <c r="K71" s="76" t="s">
        <v>85</v>
      </c>
      <c r="L71" s="83" t="s">
        <v>92</v>
      </c>
      <c r="M71" s="2"/>
      <c r="N71" s="2"/>
      <c r="O71" s="2"/>
      <c r="P71" s="2"/>
      <c r="Q71" s="2"/>
      <c r="R71" s="2"/>
      <c r="S71" s="2"/>
    </row>
    <row r="72" spans="1:26" x14ac:dyDescent="0.3">
      <c r="A72" s="2"/>
      <c r="B72" s="2"/>
      <c r="C72" s="27" t="str">
        <f>C46</f>
        <v>MER zeolite membrane</v>
      </c>
      <c r="D72" s="2"/>
      <c r="E72" s="52">
        <f>E46/100*$E$40</f>
        <v>2845.4718842910715</v>
      </c>
      <c r="F72" s="10" t="s">
        <v>32</v>
      </c>
      <c r="G72" s="2"/>
      <c r="H72" s="77">
        <f>E72/1000*$I$46/100/$J$53*$I$38</f>
        <v>0</v>
      </c>
      <c r="I72" s="78">
        <f>E72/1000*$I$47/100/$J$54*$I$39</f>
        <v>26.50874794146041</v>
      </c>
      <c r="J72" s="78">
        <f>E72/1000*$I$48/100/$J$55*$I$40</f>
        <v>1191.0219173427015</v>
      </c>
      <c r="K72" s="78">
        <f>E72/1000*$I$49/100/$J$56*$I$41</f>
        <v>4175.6150939171575</v>
      </c>
      <c r="L72" s="84">
        <f>SUM(H72:K72)</f>
        <v>5393.1457592013194</v>
      </c>
      <c r="M72" s="2"/>
      <c r="N72" s="2"/>
      <c r="O72" s="2"/>
      <c r="P72" s="2"/>
      <c r="Q72" s="2"/>
      <c r="R72" s="2"/>
      <c r="S72" s="2"/>
    </row>
    <row r="73" spans="1:26" x14ac:dyDescent="0.3">
      <c r="A73" s="2"/>
      <c r="B73" s="2"/>
      <c r="C73" s="27" t="str">
        <f>C47</f>
        <v>MER zeolite membrane *</v>
      </c>
      <c r="D73" s="2"/>
      <c r="E73" s="52">
        <f>E47/100*$E$40</f>
        <v>5690.9437685821431</v>
      </c>
      <c r="F73" s="10" t="s">
        <v>32</v>
      </c>
      <c r="G73" s="2"/>
      <c r="H73" s="77">
        <f t="shared" ref="H73:H74" si="10">E73/1000*$I$46/100/$J$53*$I$38</f>
        <v>0</v>
      </c>
      <c r="I73" s="78">
        <f t="shared" ref="I73:I74" si="11">E73/1000*$I$47/100/$J$54*$I$39</f>
        <v>53.017495882920819</v>
      </c>
      <c r="J73" s="78">
        <f t="shared" ref="J73:J74" si="12">E73/1000*$I$48/100/$J$55*$I$40</f>
        <v>2382.043834685403</v>
      </c>
      <c r="K73" s="78">
        <f t="shared" ref="K73:K74" si="13">E73/1000*$I$49/100/$J$56*$I$41</f>
        <v>8351.2301878343151</v>
      </c>
      <c r="L73" s="84">
        <f t="shared" ref="L73:L75" si="14">SUM(H73:K73)</f>
        <v>10786.291518402639</v>
      </c>
      <c r="M73" s="2"/>
      <c r="N73" s="2"/>
      <c r="O73" s="2"/>
      <c r="P73" s="2"/>
      <c r="Q73" s="2"/>
      <c r="R73" s="2"/>
      <c r="S73" s="2"/>
    </row>
    <row r="74" spans="1:26" x14ac:dyDescent="0.3">
      <c r="A74" s="2"/>
      <c r="B74" s="2"/>
      <c r="C74" s="27" t="str">
        <f>C48</f>
        <v>Zhong et al. (liuotus ja kuivatus)</v>
      </c>
      <c r="D74" s="2"/>
      <c r="E74" s="52">
        <f>E48/100*$E$40</f>
        <v>7651.5432986119677</v>
      </c>
      <c r="F74" s="10" t="s">
        <v>32</v>
      </c>
      <c r="G74" s="2"/>
      <c r="H74" s="77">
        <f t="shared" si="10"/>
        <v>0</v>
      </c>
      <c r="I74" s="78">
        <f t="shared" si="11"/>
        <v>71.282669769414881</v>
      </c>
      <c r="J74" s="78">
        <f t="shared" si="12"/>
        <v>3202.6869850495823</v>
      </c>
      <c r="K74" s="78">
        <f t="shared" si="13"/>
        <v>11228.330831813822</v>
      </c>
      <c r="L74" s="84">
        <f t="shared" si="14"/>
        <v>14502.300486632819</v>
      </c>
      <c r="M74" s="2"/>
      <c r="N74" s="2"/>
      <c r="O74" s="2"/>
      <c r="P74" s="2"/>
      <c r="Q74" s="2"/>
      <c r="R74" s="2"/>
      <c r="S74" s="2"/>
    </row>
    <row r="75" spans="1:26" x14ac:dyDescent="0.3">
      <c r="A75" s="2"/>
      <c r="B75" s="2"/>
      <c r="C75" s="49" t="str">
        <f>C49</f>
        <v>Pan et al. (liuotus, uutto, elektrolyysi)</v>
      </c>
      <c r="D75" s="18"/>
      <c r="E75" s="53">
        <f>E49/100*$E$40</f>
        <v>8273.5565123426677</v>
      </c>
      <c r="F75" s="19" t="s">
        <v>32</v>
      </c>
      <c r="G75" s="2"/>
      <c r="H75" s="79">
        <f>E75/1000*$I$46/100/$J$53*$I$38</f>
        <v>0</v>
      </c>
      <c r="I75" s="80">
        <f>E75/1000*$I$47/100/$J$54*$I$39</f>
        <v>77.077417413935336</v>
      </c>
      <c r="J75" s="80">
        <f>E75/1000*$I$48/100/$J$55*$I$40</f>
        <v>3463.0414712491906</v>
      </c>
      <c r="K75" s="80">
        <f>E75/1000*$I$49/100/$J$56*$I$41</f>
        <v>12141.110106917051</v>
      </c>
      <c r="L75" s="85">
        <f t="shared" si="14"/>
        <v>15681.228995580177</v>
      </c>
      <c r="M75" s="2"/>
      <c r="N75" s="2"/>
      <c r="O75" s="2"/>
      <c r="P75" s="2"/>
      <c r="Q75" s="2"/>
      <c r="R75" s="2"/>
      <c r="S75" s="2"/>
    </row>
    <row r="76" spans="1:26" x14ac:dyDescent="0.3">
      <c r="A76" s="2"/>
      <c r="B76" s="2"/>
      <c r="C76" s="2"/>
      <c r="D76" s="2"/>
      <c r="E76" s="2"/>
      <c r="F76" s="2"/>
      <c r="G76" s="2"/>
      <c r="H76" s="47"/>
      <c r="I76" s="47"/>
      <c r="J76" s="47"/>
      <c r="K76" s="47"/>
      <c r="L76" s="86"/>
      <c r="M76" s="2"/>
      <c r="N76" s="2"/>
      <c r="O76" s="2"/>
      <c r="P76" s="2"/>
      <c r="Q76" s="2"/>
      <c r="R76" s="2"/>
      <c r="S76" s="2"/>
    </row>
    <row r="77" spans="1:26" x14ac:dyDescent="0.3">
      <c r="A77" s="2"/>
      <c r="B77" s="2"/>
      <c r="C77" s="55" t="s">
        <v>55</v>
      </c>
      <c r="D77" s="54"/>
      <c r="E77" s="54"/>
      <c r="F77" s="57"/>
      <c r="G77" s="2"/>
      <c r="H77" s="81" t="s">
        <v>57</v>
      </c>
      <c r="I77" s="76" t="s">
        <v>82</v>
      </c>
      <c r="J77" s="76" t="s">
        <v>83</v>
      </c>
      <c r="K77" s="76" t="s">
        <v>85</v>
      </c>
      <c r="L77" s="83" t="s">
        <v>92</v>
      </c>
      <c r="M77" s="2"/>
      <c r="N77" s="2"/>
      <c r="O77" s="2"/>
      <c r="P77" s="2"/>
      <c r="Q77" s="2"/>
      <c r="R77" s="2"/>
      <c r="S77" s="2"/>
    </row>
    <row r="78" spans="1:26" x14ac:dyDescent="0.3">
      <c r="A78" s="2"/>
      <c r="B78" s="2"/>
      <c r="C78" s="27" t="str">
        <f>C46</f>
        <v>MER zeolite membrane</v>
      </c>
      <c r="D78" s="2"/>
      <c r="E78" s="52">
        <f>E46/100*$E$41</f>
        <v>3566.8591225620471</v>
      </c>
      <c r="F78" s="10" t="s">
        <v>32</v>
      </c>
      <c r="G78" s="2"/>
      <c r="H78" s="77">
        <f>E78/1000*$I$46/100/$J$53*$I$38</f>
        <v>0</v>
      </c>
      <c r="I78" s="78">
        <f>E78/1000*$I$47/100/$J$54*$I$39</f>
        <v>33.229275588591221</v>
      </c>
      <c r="J78" s="78">
        <f>E78/1000*$I$48/100/$J$55*$I$40</f>
        <v>1492.9711358239497</v>
      </c>
      <c r="K78" s="78">
        <f>E78/1000*$I$49/100/$J$56*$I$41</f>
        <v>5234.2217374454522</v>
      </c>
      <c r="L78" s="84">
        <f>SUM(H78:K78)</f>
        <v>6760.4221488579933</v>
      </c>
      <c r="M78" s="2"/>
      <c r="N78" s="2"/>
      <c r="O78" s="2"/>
      <c r="P78" s="2"/>
      <c r="Q78" s="2"/>
      <c r="R78" s="2"/>
      <c r="S78" s="2"/>
    </row>
    <row r="79" spans="1:26" x14ac:dyDescent="0.3">
      <c r="A79" s="2"/>
      <c r="B79" s="2"/>
      <c r="C79" s="27" t="str">
        <f>C47</f>
        <v>MER zeolite membrane *</v>
      </c>
      <c r="D79" s="2"/>
      <c r="E79" s="52">
        <f>E47/100*$E$41</f>
        <v>7133.7182451240942</v>
      </c>
      <c r="F79" s="10" t="s">
        <v>32</v>
      </c>
      <c r="G79" s="2"/>
      <c r="H79" s="77">
        <f t="shared" ref="H79:H81" si="15">E79/1000*$I$46/100/$J$53*$I$38</f>
        <v>0</v>
      </c>
      <c r="I79" s="78">
        <f t="shared" ref="I79:I81" si="16">E79/1000*$I$47/100/$J$54*$I$39</f>
        <v>66.458551177182443</v>
      </c>
      <c r="J79" s="78">
        <f t="shared" ref="J79:J81" si="17">E79/1000*$I$48/100/$J$55*$I$40</f>
        <v>2985.9422716478994</v>
      </c>
      <c r="K79" s="78">
        <f t="shared" ref="K79:K81" si="18">E79/1000*$I$49/100/$J$56*$I$41</f>
        <v>10468.443474890904</v>
      </c>
      <c r="L79" s="84">
        <f t="shared" ref="L79:L80" si="19">SUM(H79:K79)</f>
        <v>13520.844297715987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7" t="str">
        <f>C48</f>
        <v>Zhong et al. (liuotus ja kuivatus)</v>
      </c>
      <c r="D80" s="2"/>
      <c r="E80" s="52">
        <f>E48/100*$E$41</f>
        <v>9591.371177133311</v>
      </c>
      <c r="F80" s="10" t="s">
        <v>32</v>
      </c>
      <c r="G80" s="2"/>
      <c r="H80" s="77">
        <f t="shared" si="15"/>
        <v>0</v>
      </c>
      <c r="I80" s="78">
        <f t="shared" si="16"/>
        <v>89.354332527858091</v>
      </c>
      <c r="J80" s="78">
        <f t="shared" si="17"/>
        <v>4014.6357981607434</v>
      </c>
      <c r="K80" s="78">
        <f t="shared" si="18"/>
        <v>14074.949915935638</v>
      </c>
      <c r="L80" s="84">
        <f t="shared" si="19"/>
        <v>18178.94004662424</v>
      </c>
      <c r="M80" s="2"/>
      <c r="N80" s="2"/>
      <c r="O80" s="2"/>
      <c r="P80" s="2"/>
      <c r="Q80" s="2"/>
      <c r="R80" s="2"/>
      <c r="S80" s="2"/>
      <c r="T80" s="92"/>
      <c r="U80" s="2"/>
      <c r="V80" s="2"/>
      <c r="W80" s="2"/>
      <c r="X80" s="2"/>
      <c r="Y80" s="2"/>
      <c r="Z80" s="2"/>
    </row>
    <row r="81" spans="1:26" x14ac:dyDescent="0.3">
      <c r="B81" s="2"/>
      <c r="C81" s="49" t="str">
        <f>C49</f>
        <v>Pan et al. (liuotus, uutto, elektrolyysi)</v>
      </c>
      <c r="D81" s="18"/>
      <c r="E81" s="53">
        <f>E49/100*$E$41</f>
        <v>10371.077881668978</v>
      </c>
      <c r="F81" s="19" t="s">
        <v>32</v>
      </c>
      <c r="G81" s="2"/>
      <c r="H81" s="79">
        <f t="shared" si="15"/>
        <v>0</v>
      </c>
      <c r="I81" s="80">
        <f t="shared" si="16"/>
        <v>96.618171124510496</v>
      </c>
      <c r="J81" s="80">
        <f t="shared" si="17"/>
        <v>4340.995647058845</v>
      </c>
      <c r="K81" s="80">
        <f t="shared" si="18"/>
        <v>15219.138021346731</v>
      </c>
      <c r="L81" s="85">
        <f>SUM(H81:K81)</f>
        <v>19656.751839530087</v>
      </c>
      <c r="M81" s="2"/>
    </row>
    <row r="82" spans="1:26" x14ac:dyDescent="0.3">
      <c r="B82" s="2"/>
      <c r="C82" s="2"/>
      <c r="D82" s="2"/>
      <c r="E82" s="2"/>
      <c r="F82" s="2"/>
      <c r="G82" s="2"/>
      <c r="H82" s="47"/>
      <c r="I82" s="47"/>
      <c r="J82" s="47"/>
      <c r="K82" s="47"/>
      <c r="L82" s="86"/>
      <c r="M82" s="2"/>
    </row>
    <row r="83" spans="1:26" x14ac:dyDescent="0.3">
      <c r="B83" s="2"/>
      <c r="C83" s="55" t="s">
        <v>58</v>
      </c>
      <c r="D83" s="54"/>
      <c r="E83" s="54"/>
      <c r="F83" s="57"/>
      <c r="G83" s="2"/>
      <c r="H83" s="81" t="s">
        <v>57</v>
      </c>
      <c r="I83" s="76" t="s">
        <v>82</v>
      </c>
      <c r="J83" s="76" t="s">
        <v>83</v>
      </c>
      <c r="K83" s="76" t="s">
        <v>85</v>
      </c>
      <c r="L83" s="83" t="s">
        <v>92</v>
      </c>
      <c r="M83" s="2"/>
    </row>
    <row r="84" spans="1:26" x14ac:dyDescent="0.3">
      <c r="B84" s="2"/>
      <c r="C84" s="27" t="str">
        <f>C46</f>
        <v>MER zeolite membrane</v>
      </c>
      <c r="D84" s="2"/>
      <c r="E84" s="52">
        <f>E46/100*$E$42</f>
        <v>3005.7801594623993</v>
      </c>
      <c r="F84" s="10" t="s">
        <v>32</v>
      </c>
      <c r="G84" s="2"/>
      <c r="H84" s="77">
        <f>E84/1000*$I$46/100/$J$53*$I$38</f>
        <v>0</v>
      </c>
      <c r="I84" s="78">
        <f>E84/1000*$I$47/100/$J$54*$I$39</f>
        <v>28.002198529711702</v>
      </c>
      <c r="J84" s="78">
        <f>E84/1000*$I$48/100/$J$55*$I$40</f>
        <v>1258.1217436718678</v>
      </c>
      <c r="K84" s="78">
        <f>E84/1000*$I$49/100/$J$56*$I$41</f>
        <v>4410.8610147012241</v>
      </c>
      <c r="L84" s="84">
        <f>SUM(H84:K84)</f>
        <v>5696.9849569028038</v>
      </c>
      <c r="M84" s="2"/>
    </row>
    <row r="85" spans="1:26" x14ac:dyDescent="0.3">
      <c r="B85" s="2"/>
      <c r="C85" s="27" t="str">
        <f>C47</f>
        <v>MER zeolite membrane *</v>
      </c>
      <c r="D85" s="2"/>
      <c r="E85" s="52">
        <f>E47/100*$E$42</f>
        <v>6011.5603189247986</v>
      </c>
      <c r="F85" s="10" t="s">
        <v>32</v>
      </c>
      <c r="G85" s="2"/>
      <c r="H85" s="77">
        <f t="shared" ref="H85:H87" si="20">E85/1000*$I$46/100/$J$53*$I$38</f>
        <v>0</v>
      </c>
      <c r="I85" s="78">
        <f t="shared" ref="I85:I87" si="21">E85/1000*$I$47/100/$J$54*$I$39</f>
        <v>56.004397059423404</v>
      </c>
      <c r="J85" s="78">
        <f t="shared" ref="J85:J87" si="22">E85/1000*$I$48/100/$J$55*$I$40</f>
        <v>2516.2434873437355</v>
      </c>
      <c r="K85" s="78">
        <f t="shared" ref="K85:K87" si="23">E85/1000*$I$49/100/$J$56*$I$41</f>
        <v>8821.7220294024482</v>
      </c>
      <c r="L85" s="84">
        <f t="shared" ref="L85:L87" si="24">SUM(H85:K85)</f>
        <v>11393.969913805608</v>
      </c>
      <c r="M85" s="2"/>
    </row>
    <row r="86" spans="1:26" x14ac:dyDescent="0.3">
      <c r="B86" s="2"/>
      <c r="C86" s="27" t="str">
        <f>C48</f>
        <v>Zhong et al. (liuotus ja kuivatus)</v>
      </c>
      <c r="D86" s="2"/>
      <c r="E86" s="52">
        <f>E48/100*$E$42</f>
        <v>8082.6161605055995</v>
      </c>
      <c r="F86" s="10" t="s">
        <v>32</v>
      </c>
      <c r="G86" s="2"/>
      <c r="H86" s="77">
        <f t="shared" si="20"/>
        <v>0</v>
      </c>
      <c r="I86" s="78">
        <f t="shared" si="21"/>
        <v>75.298594826846724</v>
      </c>
      <c r="J86" s="78">
        <f t="shared" si="22"/>
        <v>3383.1200546298401</v>
      </c>
      <c r="K86" s="78">
        <f t="shared" si="23"/>
        <v>11860.912850507557</v>
      </c>
      <c r="L86" s="84">
        <f t="shared" si="24"/>
        <v>15319.331499964243</v>
      </c>
      <c r="M86" s="2"/>
    </row>
    <row r="87" spans="1:26" x14ac:dyDescent="0.3">
      <c r="B87" s="2"/>
      <c r="C87" s="49" t="str">
        <f>C49</f>
        <v>Pan et al. (liuotus, uutto, elektrolyysi)</v>
      </c>
      <c r="D87" s="18"/>
      <c r="E87" s="53">
        <f>E49/100*$E$42</f>
        <v>8739.6723721929593</v>
      </c>
      <c r="F87" s="19" t="s">
        <v>32</v>
      </c>
      <c r="G87" s="2"/>
      <c r="H87" s="79">
        <f t="shared" si="20"/>
        <v>0</v>
      </c>
      <c r="I87" s="80">
        <f t="shared" si="21"/>
        <v>81.419807127396496</v>
      </c>
      <c r="J87" s="80">
        <f t="shared" si="22"/>
        <v>3658.1423992068917</v>
      </c>
      <c r="K87" s="80">
        <f t="shared" si="23"/>
        <v>12825.116310123649</v>
      </c>
      <c r="L87" s="85">
        <f t="shared" si="24"/>
        <v>16564.678516457938</v>
      </c>
      <c r="M87" s="2"/>
    </row>
    <row r="88" spans="1:26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</row>
    <row r="89" spans="1:26" x14ac:dyDescent="0.3">
      <c r="B89" s="2"/>
      <c r="C89" s="55" t="s">
        <v>110</v>
      </c>
      <c r="D89" s="54"/>
      <c r="E89" s="54"/>
      <c r="F89" s="57"/>
      <c r="G89" s="2"/>
      <c r="H89" s="81" t="s">
        <v>57</v>
      </c>
      <c r="I89" s="76" t="s">
        <v>82</v>
      </c>
      <c r="J89" s="76" t="s">
        <v>83</v>
      </c>
      <c r="K89" s="76" t="s">
        <v>85</v>
      </c>
      <c r="L89" s="83" t="s">
        <v>92</v>
      </c>
      <c r="M89" s="2"/>
    </row>
    <row r="90" spans="1:26" x14ac:dyDescent="0.3">
      <c r="B90" s="2"/>
      <c r="C90" s="27" t="str">
        <f>C66</f>
        <v>MER zeolite membrane</v>
      </c>
      <c r="D90" s="2"/>
      <c r="E90" s="52">
        <f>E46/100*$E$43</f>
        <v>3286.3196410122232</v>
      </c>
      <c r="F90" s="10" t="s">
        <v>32</v>
      </c>
      <c r="G90" s="2"/>
      <c r="H90" s="77">
        <f>E90/1000*$I$46/100/$J$53*$I$38</f>
        <v>0</v>
      </c>
      <c r="I90" s="78">
        <f>E90/1000*$I$47/100/$J$54*$I$39</f>
        <v>30.615737059151456</v>
      </c>
      <c r="J90" s="78">
        <f>E90/1000*$I$48/100/$J$55*$I$40</f>
        <v>1375.5464397479091</v>
      </c>
      <c r="K90" s="78">
        <f>E90/1000*$I$49/100/$J$56*$I$41</f>
        <v>4822.5413760733363</v>
      </c>
      <c r="L90" s="84">
        <f>SUM(H90:K90)</f>
        <v>6228.7035528803972</v>
      </c>
      <c r="M90" s="2"/>
    </row>
    <row r="91" spans="1:26" x14ac:dyDescent="0.3">
      <c r="B91" s="2"/>
      <c r="C91" s="27" t="str">
        <f>C67</f>
        <v>MER zeolite membrane *</v>
      </c>
      <c r="D91" s="2"/>
      <c r="E91" s="52">
        <f>E47/100*$E$43</f>
        <v>6572.6392820244464</v>
      </c>
      <c r="F91" s="10" t="s">
        <v>32</v>
      </c>
      <c r="G91" s="2"/>
      <c r="H91" s="77">
        <f t="shared" ref="H91:H92" si="25">E91/1000*$I$46/100/$J$53*$I$38</f>
        <v>0</v>
      </c>
      <c r="I91" s="78">
        <f t="shared" ref="I91:I93" si="26">E91/1000*$I$47/100/$J$54*$I$39</f>
        <v>61.231474118302913</v>
      </c>
      <c r="J91" s="78">
        <f t="shared" ref="J91:J93" si="27">E91/1000*$I$48/100/$J$55*$I$40</f>
        <v>2751.0928794958181</v>
      </c>
      <c r="K91" s="78">
        <f t="shared" ref="K91:K93" si="28">E91/1000*$I$49/100/$J$56*$I$41</f>
        <v>9645.0827521466726</v>
      </c>
      <c r="L91" s="84">
        <f t="shared" ref="L91:L92" si="29">SUM(H91:K91)</f>
        <v>12457.407105760794</v>
      </c>
      <c r="M91" s="2"/>
    </row>
    <row r="92" spans="1:26" x14ac:dyDescent="0.3">
      <c r="B92" s="2"/>
      <c r="C92" s="27" t="str">
        <f>C68</f>
        <v>Zhong et al. (liuotus ja kuivatus)</v>
      </c>
      <c r="D92" s="2"/>
      <c r="E92" s="52">
        <f>E48/100*$E$43</f>
        <v>8836.9936688194557</v>
      </c>
      <c r="F92" s="10" t="s">
        <v>32</v>
      </c>
      <c r="G92" s="2"/>
      <c r="H92" s="77">
        <f t="shared" si="25"/>
        <v>0</v>
      </c>
      <c r="I92" s="78">
        <f t="shared" si="26"/>
        <v>82.326463677352422</v>
      </c>
      <c r="J92" s="78">
        <f t="shared" si="27"/>
        <v>3698.8779263952924</v>
      </c>
      <c r="K92" s="78">
        <f t="shared" si="28"/>
        <v>12967.931383221599</v>
      </c>
      <c r="L92" s="84">
        <f t="shared" si="29"/>
        <v>16749.135773294245</v>
      </c>
      <c r="M92" s="2"/>
    </row>
    <row r="93" spans="1:26" x14ac:dyDescent="0.3">
      <c r="B93" s="2"/>
      <c r="C93" s="49" t="str">
        <f>C69</f>
        <v>Pan et al. (liuotus, uutto, elektrolyysi)</v>
      </c>
      <c r="D93" s="18"/>
      <c r="E93" s="53">
        <f>E49/100*$E$43</f>
        <v>9555.3751269309687</v>
      </c>
      <c r="F93" s="19" t="s">
        <v>32</v>
      </c>
      <c r="G93" s="2"/>
      <c r="H93" s="79">
        <f>E93/1000*$I$46/100/$J$53*$I$38</f>
        <v>0</v>
      </c>
      <c r="I93" s="80">
        <f t="shared" si="26"/>
        <v>89.018989125953482</v>
      </c>
      <c r="J93" s="80">
        <f t="shared" si="27"/>
        <v>3999.5690231328686</v>
      </c>
      <c r="K93" s="80">
        <f t="shared" si="28"/>
        <v>14022.12716573519</v>
      </c>
      <c r="L93" s="85">
        <f>SUM(H93:K93)</f>
        <v>18110.71517799401</v>
      </c>
      <c r="M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6" x14ac:dyDescent="0.3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2"/>
      <c r="T96" s="2"/>
      <c r="U96" s="2"/>
      <c r="V96" s="2"/>
      <c r="W96" s="2"/>
      <c r="X96" s="2"/>
      <c r="Y96" s="2"/>
    </row>
    <row r="97" spans="1:2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8" x14ac:dyDescent="0.4">
      <c r="A98" s="2"/>
      <c r="C98" s="88" t="s">
        <v>124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 t="s">
        <v>75</v>
      </c>
      <c r="M99" s="2">
        <v>7.0000000000000007E-2</v>
      </c>
      <c r="N99" s="2" t="s">
        <v>1</v>
      </c>
      <c r="O99" s="2"/>
      <c r="P99" s="2"/>
      <c r="Q99" s="2"/>
      <c r="R99" s="2"/>
      <c r="S99" s="2"/>
      <c r="T99" s="2" t="s">
        <v>96</v>
      </c>
      <c r="U99" s="2"/>
      <c r="V99" s="2">
        <v>40</v>
      </c>
      <c r="W99" s="2" t="s">
        <v>49</v>
      </c>
      <c r="X99" s="2" t="s">
        <v>98</v>
      </c>
      <c r="Y99" s="2"/>
    </row>
    <row r="100" spans="1:25" x14ac:dyDescent="0.3">
      <c r="A100" s="2"/>
      <c r="B100" s="2"/>
      <c r="C100" s="2" t="s">
        <v>62</v>
      </c>
      <c r="D100" s="2"/>
      <c r="E100" s="2"/>
      <c r="F100" s="2"/>
      <c r="G100" s="2"/>
      <c r="H100" s="2"/>
      <c r="I100" s="2"/>
      <c r="J100" s="2"/>
      <c r="K100" s="2"/>
      <c r="L100" s="2" t="s">
        <v>76</v>
      </c>
      <c r="M100" s="2">
        <v>10</v>
      </c>
      <c r="N100" s="2" t="s">
        <v>77</v>
      </c>
      <c r="O100" s="2"/>
      <c r="P100" s="2"/>
      <c r="Q100" s="2"/>
      <c r="R100" s="2"/>
      <c r="S100" s="2"/>
      <c r="T100" s="2"/>
      <c r="U100" s="2"/>
      <c r="V100" s="2">
        <v>1100</v>
      </c>
      <c r="W100" s="2" t="s">
        <v>97</v>
      </c>
      <c r="X100" s="2"/>
      <c r="Y100" s="2"/>
    </row>
    <row r="101" spans="1:25" x14ac:dyDescent="0.3">
      <c r="A101" s="2"/>
      <c r="B101" s="2"/>
      <c r="C101" s="2" t="s">
        <v>63</v>
      </c>
      <c r="D101" s="2"/>
      <c r="E101" s="2"/>
      <c r="F101" s="2"/>
      <c r="G101" s="2"/>
      <c r="H101" s="2"/>
      <c r="I101" s="2"/>
      <c r="J101" s="2"/>
      <c r="K101" s="2"/>
      <c r="L101" s="2" t="s">
        <v>73</v>
      </c>
      <c r="M101" s="2">
        <v>10000000</v>
      </c>
      <c r="N101" s="2" t="s">
        <v>46</v>
      </c>
      <c r="O101" s="2"/>
      <c r="P101" s="2"/>
      <c r="Q101" s="2"/>
      <c r="R101" s="2"/>
      <c r="S101" s="2"/>
      <c r="T101" s="2"/>
      <c r="U101" s="2"/>
      <c r="V101" s="2">
        <v>6473</v>
      </c>
      <c r="W101" s="2" t="s">
        <v>46</v>
      </c>
      <c r="X101" s="2"/>
      <c r="Y101" s="2"/>
    </row>
    <row r="102" spans="1:2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 t="s">
        <v>79</v>
      </c>
      <c r="M102" s="2">
        <f>0.0628/(1.255)*1000</f>
        <v>50.039840637450197</v>
      </c>
      <c r="N102" s="2" t="s">
        <v>81</v>
      </c>
      <c r="O102" s="2" t="s">
        <v>80</v>
      </c>
      <c r="P102" s="2"/>
      <c r="Q102" s="2"/>
      <c r="R102" s="2"/>
      <c r="S102" s="2"/>
      <c r="T102" s="2"/>
      <c r="U102" s="2"/>
      <c r="V102" s="2">
        <f>V101/V99</f>
        <v>161.82499999999999</v>
      </c>
      <c r="W102" s="2" t="s">
        <v>48</v>
      </c>
      <c r="X102" s="2"/>
      <c r="Y102" s="2"/>
    </row>
    <row r="103" spans="1:25" x14ac:dyDescent="0.3">
      <c r="A103" s="2"/>
      <c r="B103" s="2"/>
      <c r="C103" s="2" t="s">
        <v>86</v>
      </c>
      <c r="D103" s="2">
        <v>8000</v>
      </c>
      <c r="E103" s="2" t="s">
        <v>65</v>
      </c>
      <c r="F103" s="2"/>
      <c r="G103" s="2"/>
      <c r="H103" s="2"/>
      <c r="I103" s="2"/>
      <c r="J103" s="2"/>
      <c r="K103" s="2"/>
      <c r="L103" s="2" t="s">
        <v>95</v>
      </c>
      <c r="M103" s="2">
        <f>V103*2.5</f>
        <v>36.778409090909093</v>
      </c>
      <c r="N103" s="2" t="s">
        <v>99</v>
      </c>
      <c r="O103" s="2"/>
      <c r="P103" s="2"/>
      <c r="Q103" s="2"/>
      <c r="R103" s="2"/>
      <c r="S103" s="2"/>
      <c r="T103" s="2"/>
      <c r="U103" s="2"/>
      <c r="V103" s="2">
        <f>V102/11</f>
        <v>14.711363636363636</v>
      </c>
      <c r="W103" s="2" t="s">
        <v>107</v>
      </c>
      <c r="X103" s="2"/>
      <c r="Y103" s="2"/>
    </row>
    <row r="104" spans="1:25" x14ac:dyDescent="0.3">
      <c r="A104" s="2"/>
      <c r="B104" s="2"/>
      <c r="C104" s="2"/>
      <c r="D104" s="2">
        <f>D103/24</f>
        <v>333.33333333333331</v>
      </c>
      <c r="E104" s="2" t="s">
        <v>66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3">
      <c r="A106" s="2"/>
      <c r="B106" s="2"/>
      <c r="C106" s="74" t="s">
        <v>93</v>
      </c>
      <c r="D106" s="74"/>
      <c r="E106" s="74"/>
      <c r="F106" s="2"/>
      <c r="G106" s="2"/>
      <c r="H106" s="2"/>
      <c r="I106" s="2"/>
      <c r="J106" s="2"/>
      <c r="K106" s="1" t="s">
        <v>149</v>
      </c>
      <c r="L106" s="2"/>
      <c r="M106" s="2"/>
      <c r="N106" s="2"/>
      <c r="O106" s="2" t="s">
        <v>108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3">
      <c r="A107" s="2"/>
      <c r="B107" s="2"/>
      <c r="C107" s="60" t="s">
        <v>36</v>
      </c>
      <c r="D107" s="61" t="s">
        <v>67</v>
      </c>
      <c r="E107" s="5" t="s">
        <v>68</v>
      </c>
      <c r="F107" s="22"/>
      <c r="G107" s="60" t="s">
        <v>39</v>
      </c>
      <c r="H107" s="61" t="s">
        <v>67</v>
      </c>
      <c r="I107" s="5" t="s">
        <v>68</v>
      </c>
      <c r="J107" s="2"/>
      <c r="K107" s="62" t="s">
        <v>69</v>
      </c>
      <c r="L107" s="63" t="s">
        <v>74</v>
      </c>
      <c r="M107" s="2"/>
      <c r="O107" s="47" t="s">
        <v>138</v>
      </c>
      <c r="P107" s="47"/>
      <c r="Q107" s="47"/>
      <c r="R107" s="2"/>
      <c r="S107" s="2"/>
      <c r="T107" s="2"/>
      <c r="U107" s="2"/>
      <c r="V107" s="2"/>
      <c r="W107" s="2"/>
      <c r="X107" s="2"/>
      <c r="Y107" s="2"/>
    </row>
    <row r="108" spans="1:25" x14ac:dyDescent="0.3">
      <c r="A108" s="2"/>
      <c r="B108" s="2"/>
      <c r="C108" s="64" t="str">
        <f>C66</f>
        <v>MER zeolite membrane</v>
      </c>
      <c r="D108" s="65">
        <f>L66</f>
        <v>4633.5477649476124</v>
      </c>
      <c r="E108" s="66">
        <f>D108*$D$104</f>
        <v>1544515.9216492041</v>
      </c>
      <c r="F108" s="22"/>
      <c r="G108" s="64" t="str">
        <f>C66</f>
        <v>MER zeolite membrane</v>
      </c>
      <c r="H108" s="65">
        <f>L78</f>
        <v>6760.4221488579933</v>
      </c>
      <c r="I108" s="66">
        <f>H108*$D$104</f>
        <v>2253474.049619331</v>
      </c>
      <c r="J108" s="2"/>
      <c r="K108" s="67" t="s">
        <v>70</v>
      </c>
      <c r="L108" s="68">
        <f>PMT(M99,M100,-M101)</f>
        <v>1423775.0272736473</v>
      </c>
      <c r="M108" s="2"/>
      <c r="N108" s="47"/>
      <c r="O108" s="108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3">
      <c r="A109" s="2"/>
      <c r="B109" s="2"/>
      <c r="C109" s="64" t="str">
        <f>C67</f>
        <v>MER zeolite membrane *</v>
      </c>
      <c r="D109" s="65">
        <f>L67</f>
        <v>9267.0955298952249</v>
      </c>
      <c r="E109" s="66">
        <f>D109*$D$104</f>
        <v>3089031.8432984082</v>
      </c>
      <c r="F109" s="22"/>
      <c r="G109" s="64" t="str">
        <f>C67</f>
        <v>MER zeolite membrane *</v>
      </c>
      <c r="H109" s="65">
        <f>L79</f>
        <v>13520.844297715987</v>
      </c>
      <c r="I109" s="66">
        <f>H109*$D$104</f>
        <v>4506948.099238662</v>
      </c>
      <c r="J109" s="2"/>
      <c r="K109" s="67" t="s">
        <v>71</v>
      </c>
      <c r="L109" s="28"/>
      <c r="M109" s="2"/>
      <c r="N109" s="47"/>
      <c r="O109" s="86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3">
      <c r="A110" s="2"/>
      <c r="B110" s="2"/>
      <c r="C110" s="107" t="str">
        <f>C68</f>
        <v>Zhong et al. (liuotus ja kuivatus)</v>
      </c>
      <c r="D110" s="65">
        <f>L68</f>
        <v>12459.722953304252</v>
      </c>
      <c r="E110" s="66">
        <f>D110*$D$104</f>
        <v>4153240.9844347504</v>
      </c>
      <c r="F110" s="22"/>
      <c r="G110" s="64" t="str">
        <f>C68</f>
        <v>Zhong et al. (liuotus ja kuivatus)</v>
      </c>
      <c r="H110" s="65">
        <f>L80</f>
        <v>18178.94004662424</v>
      </c>
      <c r="I110" s="66">
        <f>H110*$D$104</f>
        <v>6059646.6822080798</v>
      </c>
      <c r="J110" s="2"/>
      <c r="K110" s="27" t="s">
        <v>94</v>
      </c>
      <c r="L110" s="87"/>
      <c r="N110" s="2"/>
      <c r="O110" s="125" t="s">
        <v>36</v>
      </c>
      <c r="P110" s="123" t="s">
        <v>38</v>
      </c>
      <c r="Q110" s="123" t="s">
        <v>39</v>
      </c>
      <c r="R110" s="123" t="s">
        <v>37</v>
      </c>
      <c r="S110" s="126" t="s">
        <v>111</v>
      </c>
      <c r="T110" s="2"/>
      <c r="U110" s="2"/>
      <c r="V110" s="2"/>
      <c r="W110" s="2"/>
      <c r="X110" s="2"/>
      <c r="Y110" s="2"/>
    </row>
    <row r="111" spans="1:25" x14ac:dyDescent="0.3">
      <c r="A111" s="2"/>
      <c r="B111" s="2"/>
      <c r="C111" s="69" t="str">
        <f>C69</f>
        <v>Pan et al. (liuotus, uutto, elektrolyysi)</v>
      </c>
      <c r="D111" s="70">
        <f>L69</f>
        <v>13472.605193385785</v>
      </c>
      <c r="E111" s="71">
        <f>D111*$D$104</f>
        <v>4490868.3977952618</v>
      </c>
      <c r="F111" s="22"/>
      <c r="G111" s="69" t="str">
        <f>C69</f>
        <v>Pan et al. (liuotus, uutto, elektrolyysi)</v>
      </c>
      <c r="H111" s="70">
        <f>L81</f>
        <v>19656.751839530087</v>
      </c>
      <c r="I111" s="71">
        <f>H111*$D$104</f>
        <v>6552250.6131766951</v>
      </c>
      <c r="J111" s="2"/>
      <c r="K111" s="67" t="s">
        <v>72</v>
      </c>
      <c r="L111" s="68">
        <f>0.15*L108</f>
        <v>213566.25409104707</v>
      </c>
      <c r="M111" s="2" t="s">
        <v>100</v>
      </c>
      <c r="N111" s="47"/>
      <c r="O111" s="127">
        <f>NPV($M$99,D145,D145,D145,D145,D145,D145,D145,D145,D145,D145)</f>
        <v>23151291.042317975</v>
      </c>
      <c r="P111" s="128">
        <f>NPV($M$99,E145,E145,E145,E145,E145,E145,E145,E145,E145,E145)</f>
        <v>26946584.655812733</v>
      </c>
      <c r="Q111" s="128">
        <f>NPV($M$99,F145,F145,F145,F145,F145,F145,F145,F145,F145,F145)</f>
        <v>33778113.160103269</v>
      </c>
      <c r="R111" s="128">
        <f>NPV($M$99,G145,G145,G145,G145,G145,G145,G145,G145,G145,G145)</f>
        <v>28464702.101210628</v>
      </c>
      <c r="S111" s="129">
        <f>NPV($M$99,H145,H145,H145,H145,H145,H145,H145,H145,H145,H145)</f>
        <v>31121407.630656958</v>
      </c>
      <c r="T111" s="2"/>
      <c r="U111" s="2"/>
      <c r="V111" s="2"/>
      <c r="W111" s="2"/>
      <c r="X111" s="2"/>
      <c r="Y111" s="2"/>
    </row>
    <row r="112" spans="1:25" x14ac:dyDescent="0.3">
      <c r="A112" s="2"/>
      <c r="B112" s="2"/>
      <c r="C112" s="47"/>
      <c r="D112" s="22"/>
      <c r="E112" s="66"/>
      <c r="F112" s="22"/>
      <c r="G112" s="47"/>
      <c r="H112" s="22"/>
      <c r="I112" s="65"/>
      <c r="J112" s="2"/>
      <c r="K112" s="72" t="s">
        <v>78</v>
      </c>
      <c r="L112" s="73">
        <f>SUM(L108:L111)</f>
        <v>1637341.2813646942</v>
      </c>
      <c r="M112" s="2"/>
      <c r="N112" s="109"/>
      <c r="O112" s="110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3">
      <c r="A113" s="2"/>
      <c r="B113" s="2"/>
      <c r="C113" s="60" t="s">
        <v>64</v>
      </c>
      <c r="D113" s="61" t="s">
        <v>67</v>
      </c>
      <c r="E113" s="5" t="s">
        <v>68</v>
      </c>
      <c r="F113" s="22"/>
      <c r="G113" s="60" t="s">
        <v>37</v>
      </c>
      <c r="H113" s="61" t="s">
        <v>67</v>
      </c>
      <c r="I113" s="5" t="s">
        <v>68</v>
      </c>
      <c r="J113" s="2"/>
      <c r="K113" s="2"/>
      <c r="L113" s="2"/>
      <c r="M113" s="2"/>
      <c r="N113" s="2"/>
      <c r="O113" s="86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3">
      <c r="A114" s="2"/>
      <c r="B114" s="2"/>
      <c r="C114" s="64" t="str">
        <f>C66</f>
        <v>MER zeolite membrane</v>
      </c>
      <c r="D114" s="65">
        <f>L72</f>
        <v>5393.1457592013194</v>
      </c>
      <c r="E114" s="66">
        <f>D114*$D$104</f>
        <v>1797715.2530671062</v>
      </c>
      <c r="F114" s="22"/>
      <c r="G114" s="64" t="str">
        <f>C66</f>
        <v>MER zeolite membrane</v>
      </c>
      <c r="H114" s="65">
        <f>L84</f>
        <v>5696.9849569028038</v>
      </c>
      <c r="I114" s="66">
        <f>H114*$D$104</f>
        <v>1898994.9856342678</v>
      </c>
      <c r="J114" s="2"/>
      <c r="K114" s="2"/>
      <c r="L114" s="2"/>
      <c r="M114" s="2"/>
      <c r="N114" s="2"/>
      <c r="O114" s="86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3">
      <c r="A115" s="2"/>
      <c r="B115" s="2"/>
      <c r="C115" s="64" t="str">
        <f>C67</f>
        <v>MER zeolite membrane *</v>
      </c>
      <c r="D115" s="65">
        <f>L73</f>
        <v>10786.291518402639</v>
      </c>
      <c r="E115" s="66">
        <f>D115*$D$104</f>
        <v>3595430.5061342125</v>
      </c>
      <c r="F115" s="22"/>
      <c r="G115" s="64" t="str">
        <f>C67</f>
        <v>MER zeolite membrane *</v>
      </c>
      <c r="H115" s="65">
        <f>L85</f>
        <v>11393.969913805608</v>
      </c>
      <c r="I115" s="66">
        <f>H115*$D$104</f>
        <v>3797989.9712685356</v>
      </c>
      <c r="J115" s="2"/>
      <c r="K115" s="2"/>
      <c r="L115" s="2"/>
      <c r="M115" s="2"/>
      <c r="N115" s="47"/>
      <c r="O115" s="86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3">
      <c r="A116" s="2"/>
      <c r="B116" s="2"/>
      <c r="C116" s="64" t="str">
        <f>C68</f>
        <v>Zhong et al. (liuotus ja kuivatus)</v>
      </c>
      <c r="D116" s="65">
        <f>L74</f>
        <v>14502.300486632819</v>
      </c>
      <c r="E116" s="66">
        <f>D116*$D$104</f>
        <v>4834100.1622109395</v>
      </c>
      <c r="F116" s="22"/>
      <c r="G116" s="64" t="str">
        <f>C68</f>
        <v>Zhong et al. (liuotus ja kuivatus)</v>
      </c>
      <c r="H116" s="65">
        <f>L86</f>
        <v>15319.331499964243</v>
      </c>
      <c r="I116" s="66">
        <f>H116*$D$104</f>
        <v>5106443.833321414</v>
      </c>
      <c r="J116" s="2"/>
      <c r="K116" s="2"/>
      <c r="L116" s="2"/>
      <c r="M116" s="2"/>
      <c r="N116" s="47"/>
      <c r="O116" s="108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3">
      <c r="A117" s="2"/>
      <c r="B117" s="2"/>
      <c r="C117" s="69" t="str">
        <f>C69</f>
        <v>Pan et al. (liuotus, uutto, elektrolyysi)</v>
      </c>
      <c r="D117" s="70">
        <f>L75</f>
        <v>15681.228995580177</v>
      </c>
      <c r="E117" s="71">
        <f>D117*$D$104</f>
        <v>5227076.3318600589</v>
      </c>
      <c r="F117" s="22"/>
      <c r="G117" s="69" t="str">
        <f>C69</f>
        <v>Pan et al. (liuotus, uutto, elektrolyysi)</v>
      </c>
      <c r="H117" s="70">
        <f>L87</f>
        <v>16564.678516457938</v>
      </c>
      <c r="I117" s="71">
        <f>H117*$D$104</f>
        <v>5521559.5054859789</v>
      </c>
      <c r="J117" s="2"/>
      <c r="K117" s="2"/>
      <c r="L117" s="2"/>
      <c r="M117" s="2"/>
      <c r="N117" s="47"/>
      <c r="O117" s="86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94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3">
      <c r="A119" s="2"/>
      <c r="B119" s="2"/>
      <c r="C119" s="60" t="s">
        <v>111</v>
      </c>
      <c r="D119" s="61" t="s">
        <v>67</v>
      </c>
      <c r="E119" s="5" t="s">
        <v>68</v>
      </c>
      <c r="F119" s="2"/>
      <c r="G119" s="2"/>
      <c r="H119" s="2"/>
      <c r="I119" s="2"/>
      <c r="J119" s="2"/>
      <c r="K119" s="2"/>
      <c r="L119" s="2"/>
      <c r="M119" s="2"/>
      <c r="N119" s="47"/>
      <c r="O119" s="108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3">
      <c r="A120" s="2"/>
      <c r="B120" s="2"/>
      <c r="C120" s="64" t="str">
        <f>C66</f>
        <v>MER zeolite membrane</v>
      </c>
      <c r="D120" s="65">
        <f>L90</f>
        <v>6228.7035528803972</v>
      </c>
      <c r="E120" s="66">
        <f>D120*$D$104</f>
        <v>2076234.5176267989</v>
      </c>
      <c r="F120" s="2"/>
      <c r="G120" s="2"/>
      <c r="H120" s="2"/>
      <c r="I120" s="2"/>
      <c r="J120" s="2"/>
      <c r="K120" s="2"/>
      <c r="L120" s="2"/>
      <c r="M120" s="2"/>
      <c r="N120" s="109"/>
      <c r="O120" s="110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3">
      <c r="A121" s="2"/>
      <c r="B121" s="2"/>
      <c r="C121" s="64" t="s">
        <v>52</v>
      </c>
      <c r="D121" s="65">
        <f>L91</f>
        <v>12457.407105760794</v>
      </c>
      <c r="E121" s="66">
        <f>D121*$D$104</f>
        <v>4152469.0352535979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3">
      <c r="A122" s="2"/>
      <c r="B122" s="2"/>
      <c r="C122" s="64" t="str">
        <f>C68</f>
        <v>Zhong et al. (liuotus ja kuivatus)</v>
      </c>
      <c r="D122" s="65">
        <f>L92</f>
        <v>16749.135773294245</v>
      </c>
      <c r="E122" s="66">
        <f>D122*$D$104</f>
        <v>5583045.2577647483</v>
      </c>
      <c r="F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3">
      <c r="A123" s="2"/>
      <c r="B123" s="2"/>
      <c r="C123" s="69" t="s">
        <v>112</v>
      </c>
      <c r="D123" s="70">
        <f>L93</f>
        <v>18110.71517799401</v>
      </c>
      <c r="E123" s="71">
        <f>D123*$D$104</f>
        <v>6036905.0593313361</v>
      </c>
      <c r="F123" s="2"/>
      <c r="G123" s="2"/>
      <c r="H123" s="22"/>
      <c r="I123" s="22"/>
      <c r="J123" s="2"/>
      <c r="K123" s="47"/>
      <c r="L123" s="22"/>
      <c r="M123" s="22"/>
      <c r="N123" s="22"/>
      <c r="O123" s="47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3">
      <c r="A124" s="2"/>
      <c r="B124" s="2"/>
      <c r="C124" s="2"/>
      <c r="D124" s="2"/>
      <c r="E124" s="2"/>
      <c r="F124" s="2"/>
      <c r="G124" s="121" t="s">
        <v>151</v>
      </c>
      <c r="H124" s="65"/>
      <c r="I124" s="65"/>
      <c r="J124" s="2"/>
      <c r="K124" s="2"/>
      <c r="L124" s="2"/>
      <c r="M124" s="2"/>
      <c r="N124" s="22"/>
      <c r="O124" s="47"/>
      <c r="P124" s="2"/>
      <c r="Q124" s="93"/>
      <c r="R124" s="2"/>
      <c r="S124" s="2"/>
      <c r="T124" s="2"/>
      <c r="U124" s="2"/>
      <c r="V124" s="2"/>
      <c r="W124" s="2"/>
      <c r="X124" s="2"/>
      <c r="Y124" s="2"/>
    </row>
    <row r="125" spans="1:25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3">
      <c r="A126" s="2"/>
      <c r="B126" s="2"/>
      <c r="C126" s="47" t="s">
        <v>122</v>
      </c>
      <c r="D126" s="65" t="s">
        <v>36</v>
      </c>
      <c r="E126" s="65" t="str">
        <f>C40</f>
        <v>Kaksi vaiheinen liuotus</v>
      </c>
      <c r="F126" s="22" t="str">
        <f>C41</f>
        <v>Haihdutuskiteytys</v>
      </c>
      <c r="G126" s="47" t="str">
        <f>C42</f>
        <v>Jäädytyskiteytys</v>
      </c>
      <c r="H126" s="65" t="str">
        <f>C43</f>
        <v>Ioninvaihto</v>
      </c>
      <c r="I126" s="65" t="s">
        <v>150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3">
      <c r="A127" s="2"/>
      <c r="B127" s="2"/>
      <c r="C127" s="104">
        <v>0.1</v>
      </c>
      <c r="D127" s="65">
        <f>C127*$E$39</f>
        <v>745.3357305984</v>
      </c>
      <c r="E127" s="65">
        <f>C127*$E$40</f>
        <v>867.52191594240003</v>
      </c>
      <c r="F127" s="65">
        <f>C127*$E$41</f>
        <v>1087.4570495615999</v>
      </c>
      <c r="G127" s="65">
        <f>C127*$E$42</f>
        <v>916.39639007999995</v>
      </c>
      <c r="H127" s="65">
        <f>C127*$E$43</f>
        <v>1001.9267198207999</v>
      </c>
      <c r="I127" s="65" t="s">
        <v>32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3">
      <c r="A128" s="2"/>
      <c r="B128" s="2"/>
      <c r="C128" s="104">
        <v>0.2</v>
      </c>
      <c r="D128" s="65">
        <f>C128*$E$39</f>
        <v>1490.6714611968</v>
      </c>
      <c r="E128" s="65">
        <f t="shared" ref="E128:E136" si="30">C128*$E$40</f>
        <v>1735.0438318848001</v>
      </c>
      <c r="F128" s="65">
        <f t="shared" ref="F128:F136" si="31">C128*$E$41</f>
        <v>2174.9140991231998</v>
      </c>
      <c r="G128" s="65">
        <f t="shared" ref="G128:G136" si="32">C128*$E$42</f>
        <v>1832.7927801599999</v>
      </c>
      <c r="H128" s="65">
        <f t="shared" ref="H128:H135" si="33">C128*$E$43</f>
        <v>2003.8534396415998</v>
      </c>
      <c r="I128" s="65" t="s">
        <v>32</v>
      </c>
      <c r="J128" s="2"/>
      <c r="K128" s="2" t="s">
        <v>137</v>
      </c>
      <c r="L128" s="93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3">
      <c r="A129" s="2"/>
      <c r="B129" s="2"/>
      <c r="C129" s="104">
        <v>0.3</v>
      </c>
      <c r="D129" s="65">
        <f>C129*$E$39</f>
        <v>2236.0071917951996</v>
      </c>
      <c r="E129" s="65">
        <f t="shared" si="30"/>
        <v>2602.5657478271996</v>
      </c>
      <c r="F129" s="65">
        <f t="shared" si="31"/>
        <v>3262.3711486847997</v>
      </c>
      <c r="G129" s="65">
        <f t="shared" si="32"/>
        <v>2749.1891702399998</v>
      </c>
      <c r="H129" s="65">
        <f t="shared" si="33"/>
        <v>3005.7801594623998</v>
      </c>
      <c r="I129" s="65" t="s">
        <v>32</v>
      </c>
      <c r="J129" s="2"/>
      <c r="K129" s="62" t="s">
        <v>109</v>
      </c>
      <c r="L129" s="117">
        <v>2</v>
      </c>
      <c r="M129" s="118" t="s">
        <v>77</v>
      </c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3">
      <c r="A130" s="2"/>
      <c r="B130" s="2"/>
      <c r="C130" s="104">
        <v>0.4</v>
      </c>
      <c r="D130" s="65">
        <f t="shared" ref="D130:D136" si="34">C130*$E$39</f>
        <v>2981.3429223936</v>
      </c>
      <c r="E130" s="65">
        <f t="shared" si="30"/>
        <v>3470.0876637696001</v>
      </c>
      <c r="F130" s="65">
        <f t="shared" si="31"/>
        <v>4349.8281982463996</v>
      </c>
      <c r="G130" s="65">
        <f t="shared" si="32"/>
        <v>3665.5855603199998</v>
      </c>
      <c r="H130" s="65">
        <f t="shared" si="33"/>
        <v>4007.7068792831997</v>
      </c>
      <c r="I130" s="65" t="s">
        <v>32</v>
      </c>
      <c r="J130" s="2"/>
      <c r="K130" s="49" t="s">
        <v>75</v>
      </c>
      <c r="L130" s="18">
        <v>7.0000000000000007E-2</v>
      </c>
      <c r="M130" s="19" t="s">
        <v>1</v>
      </c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3">
      <c r="A131" s="2"/>
      <c r="B131" s="2"/>
      <c r="C131" s="104">
        <v>0.5</v>
      </c>
      <c r="D131" s="65">
        <f t="shared" si="34"/>
        <v>3726.6786529919996</v>
      </c>
      <c r="E131" s="65">
        <f>C131*$E$40</f>
        <v>4337.6095797119997</v>
      </c>
      <c r="F131" s="65">
        <f t="shared" si="31"/>
        <v>5437.2852478079994</v>
      </c>
      <c r="G131" s="65">
        <f t="shared" si="32"/>
        <v>4581.9819503999997</v>
      </c>
      <c r="H131" s="65">
        <f t="shared" si="33"/>
        <v>5009.6335991039996</v>
      </c>
      <c r="I131" s="65" t="s">
        <v>32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3">
      <c r="A132" s="2"/>
      <c r="B132" s="2"/>
      <c r="C132" s="104">
        <v>0.6</v>
      </c>
      <c r="D132" s="65">
        <f>C132*$E$39</f>
        <v>4472.0143835903991</v>
      </c>
      <c r="E132" s="65">
        <f t="shared" si="30"/>
        <v>5205.1314956543993</v>
      </c>
      <c r="F132" s="65">
        <f t="shared" si="31"/>
        <v>6524.7422973695993</v>
      </c>
      <c r="G132" s="65">
        <f t="shared" si="32"/>
        <v>5498.3783404799997</v>
      </c>
      <c r="H132" s="65">
        <f t="shared" si="33"/>
        <v>6011.5603189247995</v>
      </c>
      <c r="I132" s="65" t="s">
        <v>32</v>
      </c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3">
      <c r="A133" s="2"/>
      <c r="B133" s="2"/>
      <c r="C133" s="104">
        <v>0.7</v>
      </c>
      <c r="D133" s="65">
        <f t="shared" si="34"/>
        <v>5217.3501141887991</v>
      </c>
      <c r="E133" s="65">
        <f t="shared" si="30"/>
        <v>6072.6534115967988</v>
      </c>
      <c r="F133" s="65">
        <f t="shared" si="31"/>
        <v>7612.1993469311983</v>
      </c>
      <c r="G133" s="65">
        <f t="shared" si="32"/>
        <v>6414.7747305599996</v>
      </c>
      <c r="H133" s="65">
        <f t="shared" si="33"/>
        <v>7013.4870387455994</v>
      </c>
      <c r="I133" s="65" t="s">
        <v>32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3">
      <c r="A134" s="2"/>
      <c r="B134" s="2"/>
      <c r="C134" s="104">
        <v>0.8</v>
      </c>
      <c r="D134" s="65">
        <f t="shared" si="34"/>
        <v>5962.6858447872</v>
      </c>
      <c r="E134" s="65">
        <f t="shared" si="30"/>
        <v>6940.1753275392002</v>
      </c>
      <c r="F134" s="65">
        <f t="shared" si="31"/>
        <v>8699.6563964927991</v>
      </c>
      <c r="G134" s="65">
        <f t="shared" si="32"/>
        <v>7331.1711206399996</v>
      </c>
      <c r="H134" s="65">
        <f t="shared" si="33"/>
        <v>8015.4137585663993</v>
      </c>
      <c r="I134" s="65" t="s">
        <v>32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3">
      <c r="A135" s="2"/>
      <c r="B135" s="2"/>
      <c r="C135" s="104">
        <v>0.9</v>
      </c>
      <c r="D135" s="65">
        <f t="shared" si="34"/>
        <v>6708.0215753855991</v>
      </c>
      <c r="E135" s="65">
        <f t="shared" si="30"/>
        <v>7807.6972434815998</v>
      </c>
      <c r="F135" s="65">
        <f t="shared" si="31"/>
        <v>9787.1134460543999</v>
      </c>
      <c r="G135" s="65">
        <f t="shared" si="32"/>
        <v>8247.5675107200004</v>
      </c>
      <c r="H135" s="65">
        <f t="shared" si="33"/>
        <v>9017.3404783871993</v>
      </c>
      <c r="I135" s="65" t="s">
        <v>32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3">
      <c r="A136" s="2"/>
      <c r="B136" s="2"/>
      <c r="C136" s="104">
        <v>1</v>
      </c>
      <c r="D136" s="65">
        <f t="shared" si="34"/>
        <v>7453.3573059839991</v>
      </c>
      <c r="E136" s="65">
        <f t="shared" si="30"/>
        <v>8675.2191594239994</v>
      </c>
      <c r="F136" s="65">
        <f t="shared" si="31"/>
        <v>10874.570495615999</v>
      </c>
      <c r="G136" s="65">
        <f t="shared" si="32"/>
        <v>9163.9639007999995</v>
      </c>
      <c r="H136" s="65">
        <f>C136*$E$43</f>
        <v>10019.267198207999</v>
      </c>
      <c r="I136" s="65" t="s">
        <v>32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3">
      <c r="A138" s="2"/>
      <c r="B138" s="2"/>
      <c r="C138" s="2" t="s">
        <v>123</v>
      </c>
      <c r="D138" s="94" t="s">
        <v>36</v>
      </c>
      <c r="E138" s="86" t="str">
        <f>C40</f>
        <v>Kaksi vaiheinen liuotus</v>
      </c>
      <c r="F138" s="86" t="str">
        <f>C41</f>
        <v>Haihdutuskiteytys</v>
      </c>
      <c r="G138" s="86" t="str">
        <f>C42</f>
        <v>Jäädytyskiteytys</v>
      </c>
      <c r="H138" s="86" t="str">
        <f>C43</f>
        <v>Ioninvaihto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3">
      <c r="A139" s="2"/>
      <c r="B139" s="2"/>
      <c r="C139" s="104">
        <v>0.1</v>
      </c>
      <c r="D139" s="52">
        <f>D127/1000*($I$47/100/$J$54*$I$39+$I$48/100/$J$55*$I$40+$I$49/100/$J$56*$I$41)*$D$104</f>
        <v>470889.00050280622</v>
      </c>
      <c r="E139" s="52">
        <f>E127/1000*($I$47/100/$J$54*$I$39+$I$48/100/$J$55*$I$40+$I$49/100/$J$56*$I$41)*$D$104</f>
        <v>548083.91861802037</v>
      </c>
      <c r="F139" s="52">
        <f>F127/1000*($I$47/100/$J$54*$I$39+$I$48/100/$J$55*$I$40+$I$49/100/$J$56*$I$41)*$D$104</f>
        <v>687034.77122540574</v>
      </c>
      <c r="G139" s="52">
        <f>G127/1000*($I$47/100/$J$54*$I$39+$I$48/100/$J$55*$I$40+$I$49/100/$J$56*$I$41)*$D$104</f>
        <v>578961.88586410601</v>
      </c>
      <c r="H139" s="52">
        <f>H127/1000*($I$47/100/$J$54*$I$39+$I$48/100/$J$55*$I$40+$I$49/100/$J$56*$I$41)*$D$104</f>
        <v>632998.32854475593</v>
      </c>
      <c r="I139" s="2"/>
      <c r="J139" s="9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3">
      <c r="A140" s="2"/>
      <c r="B140" s="2"/>
      <c r="C140" s="104">
        <v>0.2</v>
      </c>
      <c r="D140" s="52">
        <f t="shared" ref="D140:H148" si="35">D128/1000*($I$47/100/$J$54*$I$39+$I$48/100/$J$55*$I$40+$I$49/100/$J$56*$I$41)*$D$104</f>
        <v>941778.00100561243</v>
      </c>
      <c r="E140" s="52">
        <f t="shared" si="35"/>
        <v>1096167.8372360407</v>
      </c>
      <c r="F140" s="52">
        <f t="shared" si="35"/>
        <v>1374069.5424508115</v>
      </c>
      <c r="G140" s="52">
        <f t="shared" si="35"/>
        <v>1157923.771728212</v>
      </c>
      <c r="H140" s="52">
        <f t="shared" si="35"/>
        <v>1265996.6570895119</v>
      </c>
      <c r="I140" s="2"/>
      <c r="J140" s="9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3">
      <c r="A141" s="2"/>
      <c r="B141" s="2"/>
      <c r="C141" s="104">
        <v>0.3</v>
      </c>
      <c r="D141" s="52">
        <f t="shared" si="35"/>
        <v>1412667.0015084185</v>
      </c>
      <c r="E141" s="52">
        <f t="shared" si="35"/>
        <v>1644251.7558540609</v>
      </c>
      <c r="F141" s="52">
        <f t="shared" si="35"/>
        <v>2061104.3136762171</v>
      </c>
      <c r="G141" s="52">
        <f t="shared" si="35"/>
        <v>1736885.6575923178</v>
      </c>
      <c r="H141" s="52">
        <f t="shared" si="35"/>
        <v>1898994.9856342676</v>
      </c>
      <c r="I141" s="2"/>
      <c r="J141" s="9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3">
      <c r="A142" s="2"/>
      <c r="B142" s="2"/>
      <c r="C142" s="104">
        <v>0.4</v>
      </c>
      <c r="D142" s="52">
        <f t="shared" si="35"/>
        <v>1883556.0020112249</v>
      </c>
      <c r="E142" s="52">
        <f t="shared" si="35"/>
        <v>2192335.6744720815</v>
      </c>
      <c r="F142" s="52">
        <f t="shared" si="35"/>
        <v>2748139.084901623</v>
      </c>
      <c r="G142" s="52">
        <f t="shared" si="35"/>
        <v>2315847.543456424</v>
      </c>
      <c r="H142" s="52">
        <f t="shared" si="35"/>
        <v>2531993.3141790237</v>
      </c>
      <c r="I142" s="2"/>
      <c r="J142" s="9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3">
      <c r="A143" s="2"/>
      <c r="B143" s="2"/>
      <c r="C143" s="104">
        <v>0.5</v>
      </c>
      <c r="D143" s="52">
        <f t="shared" si="35"/>
        <v>2354445.0025140308</v>
      </c>
      <c r="E143" s="52">
        <f>E131/1000*($I$47/100/$J$54*$I$39+$I$48/100/$J$55*$I$40+$I$49/100/$J$56*$I$41)*$D$104</f>
        <v>2740419.5930901016</v>
      </c>
      <c r="F143" s="52">
        <f t="shared" si="35"/>
        <v>3435173.8561270284</v>
      </c>
      <c r="G143" s="52">
        <f t="shared" si="35"/>
        <v>2894809.4293205296</v>
      </c>
      <c r="H143" s="52">
        <f t="shared" si="35"/>
        <v>3164991.6427237792</v>
      </c>
      <c r="I143" s="2"/>
      <c r="J143" s="9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3">
      <c r="A144" s="2"/>
      <c r="B144" s="2"/>
      <c r="C144" s="104">
        <v>0.6</v>
      </c>
      <c r="D144" s="52">
        <f t="shared" si="35"/>
        <v>2825334.0030168369</v>
      </c>
      <c r="E144" s="52">
        <f t="shared" si="35"/>
        <v>3288503.5117081217</v>
      </c>
      <c r="F144" s="52">
        <f t="shared" si="35"/>
        <v>4122208.6273524342</v>
      </c>
      <c r="G144" s="52">
        <f t="shared" si="35"/>
        <v>3473771.3151846356</v>
      </c>
      <c r="H144" s="52">
        <f t="shared" si="35"/>
        <v>3797989.9712685351</v>
      </c>
      <c r="I144" s="2"/>
      <c r="J144" s="9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x14ac:dyDescent="0.3">
      <c r="A145" s="2"/>
      <c r="B145" s="2"/>
      <c r="C145" s="104">
        <v>0.7</v>
      </c>
      <c r="D145" s="52">
        <f t="shared" si="35"/>
        <v>3296223.0035196431</v>
      </c>
      <c r="E145" s="52">
        <f t="shared" si="35"/>
        <v>3836587.4303261423</v>
      </c>
      <c r="F145" s="52">
        <f t="shared" si="35"/>
        <v>4809243.3985778391</v>
      </c>
      <c r="G145" s="52">
        <f t="shared" si="35"/>
        <v>4052733.2010487416</v>
      </c>
      <c r="H145" s="52">
        <f t="shared" si="35"/>
        <v>4430988.2998132911</v>
      </c>
      <c r="I145" s="2"/>
      <c r="J145" s="9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x14ac:dyDescent="0.3">
      <c r="A146" s="2"/>
      <c r="B146" s="2"/>
      <c r="C146" s="104">
        <v>0.8</v>
      </c>
      <c r="D146" s="52">
        <f t="shared" si="35"/>
        <v>3767112.0040224497</v>
      </c>
      <c r="E146" s="52">
        <f t="shared" si="35"/>
        <v>4384671.3489441629</v>
      </c>
      <c r="F146" s="52">
        <f t="shared" si="35"/>
        <v>5496278.1698032459</v>
      </c>
      <c r="G146" s="52">
        <f t="shared" si="35"/>
        <v>4631695.0869128481</v>
      </c>
      <c r="H146" s="52">
        <f t="shared" si="35"/>
        <v>5063986.6283580475</v>
      </c>
      <c r="I146" s="2"/>
      <c r="J146" s="9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x14ac:dyDescent="0.3">
      <c r="A147" s="2"/>
      <c r="B147" s="2"/>
      <c r="C147" s="104">
        <v>0.9</v>
      </c>
      <c r="D147" s="52">
        <f t="shared" si="35"/>
        <v>4238001.0045252554</v>
      </c>
      <c r="E147" s="52">
        <f t="shared" si="35"/>
        <v>4932755.2675621836</v>
      </c>
      <c r="F147" s="52">
        <f t="shared" si="35"/>
        <v>6183312.9410286527</v>
      </c>
      <c r="G147" s="52">
        <f t="shared" si="35"/>
        <v>5210656.9727769541</v>
      </c>
      <c r="H147" s="52">
        <f>H135/1000*($I$47/100/$J$54*$I$39+$I$48/100/$J$55*$I$40+$I$49/100/$J$56*$I$41)*$D$104</f>
        <v>5696984.9569028029</v>
      </c>
      <c r="I147" s="2"/>
      <c r="J147" s="9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x14ac:dyDescent="0.3">
      <c r="A148" s="2"/>
      <c r="B148" s="2"/>
      <c r="C148" s="104">
        <v>1</v>
      </c>
      <c r="D148" s="52">
        <f t="shared" si="35"/>
        <v>4708890.0050280616</v>
      </c>
      <c r="E148" s="52">
        <f t="shared" si="35"/>
        <v>5480839.1861802032</v>
      </c>
      <c r="F148" s="52">
        <f t="shared" si="35"/>
        <v>6870347.7122540567</v>
      </c>
      <c r="G148" s="52">
        <f t="shared" si="35"/>
        <v>5789618.8586410591</v>
      </c>
      <c r="H148" s="52">
        <f t="shared" si="35"/>
        <v>6329983.2854475584</v>
      </c>
      <c r="I148" s="2"/>
      <c r="J148" s="9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x14ac:dyDescent="0.3">
      <c r="A150" s="2"/>
      <c r="B150" s="2"/>
      <c r="C150" s="2" t="s">
        <v>120</v>
      </c>
      <c r="D150" s="94" t="str">
        <f>D126</f>
        <v>Liuotus</v>
      </c>
      <c r="E150" s="86" t="str">
        <f>C40</f>
        <v>Kaksi vaiheinen liuotus</v>
      </c>
      <c r="F150" s="86" t="str">
        <f>C41</f>
        <v>Haihdutuskiteytys</v>
      </c>
      <c r="G150" s="86" t="str">
        <f>C42</f>
        <v>Jäädytyskiteytys</v>
      </c>
      <c r="H150" s="86" t="str">
        <f>C43</f>
        <v>Ioninvaihto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x14ac:dyDescent="0.3">
      <c r="A151" s="2"/>
      <c r="B151" s="2"/>
      <c r="C151" s="104">
        <v>0.1</v>
      </c>
      <c r="D151" s="105">
        <f t="shared" ref="D151:H160" si="36">NPV($L$130,D139,D139)</f>
        <v>851375.86779702047</v>
      </c>
      <c r="E151" s="105">
        <f t="shared" si="36"/>
        <v>990945.6821899747</v>
      </c>
      <c r="F151" s="105">
        <f t="shared" si="36"/>
        <v>1242171.3480972922</v>
      </c>
      <c r="G151" s="105">
        <f t="shared" si="36"/>
        <v>1046773.6079471564</v>
      </c>
      <c r="H151" s="105">
        <f t="shared" si="36"/>
        <v>1144472.4780222243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x14ac:dyDescent="0.3">
      <c r="A152" s="2"/>
      <c r="B152" s="2"/>
      <c r="C152" s="104">
        <v>0.2</v>
      </c>
      <c r="D152" s="105">
        <f t="shared" si="36"/>
        <v>1702751.7355940409</v>
      </c>
      <c r="E152" s="105">
        <f t="shared" si="36"/>
        <v>1981891.3643799494</v>
      </c>
      <c r="F152" s="105">
        <f t="shared" si="36"/>
        <v>2484342.6961945845</v>
      </c>
      <c r="G152" s="105">
        <f t="shared" si="36"/>
        <v>2093547.2158943128</v>
      </c>
      <c r="H152" s="105">
        <f t="shared" si="36"/>
        <v>2288944.9560444485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x14ac:dyDescent="0.3">
      <c r="A153" s="2"/>
      <c r="B153" s="2"/>
      <c r="C153" s="104">
        <v>0.3</v>
      </c>
      <c r="D153" s="105">
        <f t="shared" si="36"/>
        <v>2554127.6033910611</v>
      </c>
      <c r="E153" s="105">
        <f t="shared" si="36"/>
        <v>2972837.0465699239</v>
      </c>
      <c r="F153" s="105">
        <f t="shared" si="36"/>
        <v>3726514.0442918763</v>
      </c>
      <c r="G153" s="105">
        <f t="shared" si="36"/>
        <v>3140320.8238414689</v>
      </c>
      <c r="H153" s="105">
        <f t="shared" si="36"/>
        <v>3433417.4340666728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x14ac:dyDescent="0.3">
      <c r="A154" s="2"/>
      <c r="B154" s="2"/>
      <c r="C154" s="104">
        <v>0.4</v>
      </c>
      <c r="D154" s="105">
        <f t="shared" si="36"/>
        <v>3405503.4711880819</v>
      </c>
      <c r="E154" s="105">
        <f t="shared" si="36"/>
        <v>3963782.7287598988</v>
      </c>
      <c r="F154" s="105">
        <f t="shared" si="36"/>
        <v>4968685.392389169</v>
      </c>
      <c r="G154" s="105">
        <f t="shared" si="36"/>
        <v>4187094.4317886257</v>
      </c>
      <c r="H154" s="105">
        <f t="shared" si="36"/>
        <v>4577889.9120888971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x14ac:dyDescent="0.3">
      <c r="A155" s="2"/>
      <c r="B155" s="2"/>
      <c r="C155" s="104">
        <v>0.5</v>
      </c>
      <c r="D155" s="105">
        <f t="shared" si="36"/>
        <v>4256879.3389851013</v>
      </c>
      <c r="E155" s="105">
        <f t="shared" si="36"/>
        <v>4954728.4109498728</v>
      </c>
      <c r="F155" s="105">
        <f t="shared" si="36"/>
        <v>6210856.7404864598</v>
      </c>
      <c r="G155" s="105">
        <f t="shared" si="36"/>
        <v>5233868.039735781</v>
      </c>
      <c r="H155" s="105">
        <f t="shared" si="36"/>
        <v>5722362.3901111213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x14ac:dyDescent="0.3">
      <c r="A156" s="2"/>
      <c r="B156" s="2"/>
      <c r="C156" s="104">
        <v>0.6</v>
      </c>
      <c r="D156" s="105">
        <f t="shared" si="36"/>
        <v>5108255.2067821221</v>
      </c>
      <c r="E156" s="105">
        <f t="shared" si="36"/>
        <v>5945674.0931398477</v>
      </c>
      <c r="F156" s="105">
        <f t="shared" si="36"/>
        <v>7453028.0885837525</v>
      </c>
      <c r="G156" s="105">
        <f t="shared" si="36"/>
        <v>6280641.6476829378</v>
      </c>
      <c r="H156" s="105">
        <f t="shared" si="36"/>
        <v>6866834.8681333456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x14ac:dyDescent="0.3">
      <c r="A157" s="2"/>
      <c r="B157" s="2"/>
      <c r="C157" s="104">
        <v>0.7</v>
      </c>
      <c r="D157" s="105">
        <f t="shared" si="36"/>
        <v>5959631.074579143</v>
      </c>
      <c r="E157" s="105">
        <f t="shared" si="36"/>
        <v>6936619.7753298227</v>
      </c>
      <c r="F157" s="105">
        <f t="shared" si="36"/>
        <v>8695199.4366810434</v>
      </c>
      <c r="G157" s="105">
        <f t="shared" si="36"/>
        <v>7327415.2556300946</v>
      </c>
      <c r="H157" s="105">
        <f t="shared" si="36"/>
        <v>8011307.3461555708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x14ac:dyDescent="0.3">
      <c r="A158" s="2"/>
      <c r="B158" s="2"/>
      <c r="C158" s="104">
        <v>0.8</v>
      </c>
      <c r="D158" s="105">
        <f t="shared" si="36"/>
        <v>6811006.9423761638</v>
      </c>
      <c r="E158" s="105">
        <f t="shared" si="36"/>
        <v>7927565.4575197976</v>
      </c>
      <c r="F158" s="105">
        <f t="shared" si="36"/>
        <v>9937370.7847783379</v>
      </c>
      <c r="G158" s="105">
        <f t="shared" si="36"/>
        <v>8374188.8635772513</v>
      </c>
      <c r="H158" s="105">
        <f t="shared" si="36"/>
        <v>9155779.8241777942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x14ac:dyDescent="0.3">
      <c r="A159" s="2"/>
      <c r="B159" s="2"/>
      <c r="C159" s="104">
        <v>0.9</v>
      </c>
      <c r="D159" s="105">
        <f t="shared" si="36"/>
        <v>7662382.8101731837</v>
      </c>
      <c r="E159" s="105">
        <f t="shared" si="36"/>
        <v>8918511.1397097744</v>
      </c>
      <c r="F159" s="105">
        <f t="shared" si="36"/>
        <v>11179542.132875631</v>
      </c>
      <c r="G159" s="105">
        <f t="shared" si="36"/>
        <v>9420962.4715244062</v>
      </c>
      <c r="H159" s="105">
        <f t="shared" si="36"/>
        <v>10300252.302200019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x14ac:dyDescent="0.3">
      <c r="A160" s="2"/>
      <c r="B160" s="2"/>
      <c r="C160" s="104">
        <v>1</v>
      </c>
      <c r="D160" s="105">
        <f t="shared" si="36"/>
        <v>8513758.6779702026</v>
      </c>
      <c r="E160" s="105">
        <f t="shared" si="36"/>
        <v>9909456.8218997456</v>
      </c>
      <c r="F160" s="105">
        <f t="shared" si="36"/>
        <v>12421713.48097292</v>
      </c>
      <c r="G160" s="105">
        <f t="shared" si="36"/>
        <v>10467736.079471562</v>
      </c>
      <c r="H160" s="105">
        <f t="shared" si="36"/>
        <v>11444724.780222243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x14ac:dyDescent="0.3">
      <c r="A165" s="2"/>
      <c r="B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</sheetData>
  <conditionalFormatting sqref="E14">
    <cfRule type="cellIs" dxfId="187" priority="77" operator="greaterThan">
      <formula>$D$3</formula>
    </cfRule>
    <cfRule type="cellIs" dxfId="186" priority="76" operator="lessThan">
      <formula>$D$3</formula>
    </cfRule>
  </conditionalFormatting>
  <conditionalFormatting sqref="E15">
    <cfRule type="cellIs" dxfId="185" priority="79" operator="greaterThan">
      <formula>$D$4</formula>
    </cfRule>
    <cfRule type="cellIs" dxfId="184" priority="78" operator="lessThan">
      <formula>$D$4</formula>
    </cfRule>
  </conditionalFormatting>
  <conditionalFormatting sqref="E16">
    <cfRule type="cellIs" dxfId="183" priority="81" operator="greaterThan">
      <formula>$D$5</formula>
    </cfRule>
    <cfRule type="cellIs" dxfId="182" priority="80" operator="lessThan">
      <formula>$D$5</formula>
    </cfRule>
  </conditionalFormatting>
  <conditionalFormatting sqref="E17">
    <cfRule type="cellIs" dxfId="181" priority="83" operator="greaterThan">
      <formula>$D$6</formula>
    </cfRule>
    <cfRule type="cellIs" dxfId="180" priority="82" operator="lessThan">
      <formula>$D$6</formula>
    </cfRule>
  </conditionalFormatting>
  <conditionalFormatting sqref="E18">
    <cfRule type="cellIs" dxfId="179" priority="85" operator="greaterThan">
      <formula>$D$7</formula>
    </cfRule>
    <cfRule type="cellIs" dxfId="178" priority="84" operator="lessThan">
      <formula>$D$7</formula>
    </cfRule>
  </conditionalFormatting>
  <conditionalFormatting sqref="E19">
    <cfRule type="cellIs" dxfId="177" priority="87" operator="greaterThan">
      <formula>$D$8</formula>
    </cfRule>
    <cfRule type="cellIs" dxfId="176" priority="86" operator="lessThan">
      <formula>$D$8</formula>
    </cfRule>
  </conditionalFormatting>
  <conditionalFormatting sqref="E20">
    <cfRule type="cellIs" dxfId="175" priority="89" operator="greaterThan">
      <formula>$D$9</formula>
    </cfRule>
    <cfRule type="cellIs" dxfId="174" priority="88" operator="lessThan">
      <formula>$D$9</formula>
    </cfRule>
  </conditionalFormatting>
  <conditionalFormatting sqref="E21">
    <cfRule type="cellIs" dxfId="173" priority="91" operator="greaterThan">
      <formula>$D$10</formula>
    </cfRule>
    <cfRule type="cellIs" dxfId="172" priority="90" operator="lessThan">
      <formula>$D$10</formula>
    </cfRule>
  </conditionalFormatting>
  <conditionalFormatting sqref="E22">
    <cfRule type="cellIs" dxfId="171" priority="93" operator="greaterThan">
      <formula>$D$11</formula>
    </cfRule>
    <cfRule type="cellIs" dxfId="170" priority="92" operator="lessThan">
      <formula>$D$11</formula>
    </cfRule>
  </conditionalFormatting>
  <conditionalFormatting sqref="F14">
    <cfRule type="cellIs" dxfId="168" priority="58" operator="lessThan">
      <formula>$E$3</formula>
    </cfRule>
    <cfRule type="cellIs" dxfId="167" priority="59" operator="greaterThan">
      <formula>$E$3</formula>
    </cfRule>
  </conditionalFormatting>
  <conditionalFormatting sqref="F15">
    <cfRule type="cellIs" dxfId="166" priority="61" operator="greaterThan">
      <formula>$E$4</formula>
    </cfRule>
    <cfRule type="cellIs" dxfId="165" priority="60" operator="lessThan">
      <formula>$E$4</formula>
    </cfRule>
  </conditionalFormatting>
  <conditionalFormatting sqref="F16">
    <cfRule type="cellIs" dxfId="164" priority="63" operator="greaterThan">
      <formula>$E$5</formula>
    </cfRule>
    <cfRule type="cellIs" dxfId="163" priority="62" operator="lessThan">
      <formula>$E$5</formula>
    </cfRule>
  </conditionalFormatting>
  <conditionalFormatting sqref="F17">
    <cfRule type="cellIs" dxfId="162" priority="65" operator="greaterThan">
      <formula>$E$6</formula>
    </cfRule>
    <cfRule type="cellIs" dxfId="161" priority="64" operator="lessThan">
      <formula>$E$6</formula>
    </cfRule>
  </conditionalFormatting>
  <conditionalFormatting sqref="F18">
    <cfRule type="cellIs" dxfId="160" priority="67" operator="greaterThan">
      <formula>$E$7</formula>
    </cfRule>
    <cfRule type="cellIs" dxfId="159" priority="66" operator="lessThan">
      <formula>$E$7</formula>
    </cfRule>
  </conditionalFormatting>
  <conditionalFormatting sqref="F19">
    <cfRule type="cellIs" dxfId="158" priority="69" operator="greaterThan">
      <formula>$E$8</formula>
    </cfRule>
    <cfRule type="cellIs" dxfId="157" priority="68" operator="lessThan">
      <formula>$E$8</formula>
    </cfRule>
  </conditionalFormatting>
  <conditionalFormatting sqref="F20">
    <cfRule type="cellIs" dxfId="156" priority="71" operator="greaterThan">
      <formula>$E$9</formula>
    </cfRule>
    <cfRule type="cellIs" dxfId="155" priority="70" operator="lessThan">
      <formula>$E$9</formula>
    </cfRule>
  </conditionalFormatting>
  <conditionalFormatting sqref="F21">
    <cfRule type="cellIs" dxfId="154" priority="73" operator="greaterThan">
      <formula>$E$10</formula>
    </cfRule>
    <cfRule type="cellIs" dxfId="153" priority="72" operator="lessThan">
      <formula>$E$10</formula>
    </cfRule>
  </conditionalFormatting>
  <conditionalFormatting sqref="F22">
    <cfRule type="cellIs" dxfId="152" priority="74" operator="lessThan">
      <formula>$E$11</formula>
    </cfRule>
    <cfRule type="cellIs" dxfId="151" priority="75" operator="greaterThan">
      <formula>$E$11</formula>
    </cfRule>
  </conditionalFormatting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6EB64-143A-4A22-9BC7-AD4A9F954EE6}">
  <dimension ref="A1:AB185"/>
  <sheetViews>
    <sheetView topLeftCell="A93" zoomScale="40" zoomScaleNormal="40" workbookViewId="0">
      <selection activeCell="E109" sqref="E109:I124"/>
    </sheetView>
  </sheetViews>
  <sheetFormatPr defaultRowHeight="14" x14ac:dyDescent="0.3"/>
  <cols>
    <col min="1" max="2" width="8.7265625" style="1"/>
    <col min="3" max="3" width="38.26953125" style="1" customWidth="1"/>
    <col min="4" max="4" width="15.36328125" style="1" customWidth="1"/>
    <col min="5" max="5" width="23.1796875" style="1" customWidth="1"/>
    <col min="6" max="6" width="20.81640625" style="1" customWidth="1"/>
    <col min="7" max="7" width="42.54296875" style="1" customWidth="1"/>
    <col min="8" max="8" width="51.26953125" style="1" customWidth="1"/>
    <col min="9" max="9" width="19" style="1" customWidth="1"/>
    <col min="10" max="10" width="13" style="1" customWidth="1"/>
    <col min="11" max="11" width="14.6328125" style="1" customWidth="1"/>
    <col min="12" max="12" width="22.90625" style="1" customWidth="1"/>
    <col min="13" max="13" width="16.08984375" style="1" customWidth="1"/>
    <col min="14" max="14" width="14.90625" style="1" bestFit="1" customWidth="1"/>
    <col min="15" max="15" width="17" style="1" customWidth="1"/>
    <col min="16" max="16" width="21.90625" style="1" bestFit="1" customWidth="1"/>
    <col min="17" max="17" width="16.7265625" style="1" bestFit="1" customWidth="1"/>
    <col min="18" max="18" width="15.26953125" style="1" bestFit="1" customWidth="1"/>
    <col min="19" max="19" width="12.81640625" style="1" bestFit="1" customWidth="1"/>
    <col min="20" max="16384" width="8.7265625" style="1"/>
  </cols>
  <sheetData>
    <row r="1" spans="1: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3">
      <c r="A2" s="2"/>
      <c r="B2" s="2"/>
      <c r="C2" s="6" t="s">
        <v>115</v>
      </c>
      <c r="D2" s="7" t="s">
        <v>113</v>
      </c>
      <c r="E2" s="100" t="s">
        <v>113</v>
      </c>
      <c r="F2" s="2"/>
      <c r="G2" s="2"/>
      <c r="H2" s="3" t="s">
        <v>12</v>
      </c>
      <c r="I2" s="4" t="s">
        <v>1</v>
      </c>
      <c r="J2" s="5" t="s">
        <v>11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11" t="s">
        <v>17</v>
      </c>
      <c r="D3" s="12">
        <v>40</v>
      </c>
      <c r="E3" s="13">
        <v>40</v>
      </c>
      <c r="F3" s="2"/>
      <c r="G3" s="2"/>
      <c r="H3" s="48" t="s">
        <v>118</v>
      </c>
      <c r="I3" s="12">
        <v>0.56999999999999995</v>
      </c>
      <c r="J3" s="13">
        <f>I3*100</f>
        <v>56.999999999999993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15" t="s">
        <v>18</v>
      </c>
      <c r="D4" s="2">
        <v>1</v>
      </c>
      <c r="E4" s="10">
        <v>1</v>
      </c>
      <c r="F4" s="14"/>
      <c r="G4" s="2"/>
      <c r="H4" s="27" t="s">
        <v>119</v>
      </c>
      <c r="I4" s="2">
        <v>5.3400000000000003E-2</v>
      </c>
      <c r="J4" s="10">
        <f>I4*100</f>
        <v>5.34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5" customHeight="1" x14ac:dyDescent="0.3">
      <c r="A5" s="2"/>
      <c r="B5" s="2"/>
      <c r="C5" s="15" t="s">
        <v>19</v>
      </c>
      <c r="D5" s="2">
        <v>25</v>
      </c>
      <c r="E5" s="10">
        <v>1.5</v>
      </c>
      <c r="F5" s="14"/>
      <c r="G5" s="2"/>
      <c r="H5" s="9" t="s">
        <v>2</v>
      </c>
      <c r="I5" s="2">
        <v>0</v>
      </c>
      <c r="J5" s="10">
        <f t="shared" ref="J5:J12" si="0">I5*100</f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15" t="s">
        <v>20</v>
      </c>
      <c r="D6" s="2">
        <v>120</v>
      </c>
      <c r="E6" s="10">
        <v>70</v>
      </c>
      <c r="F6" s="14"/>
      <c r="G6" s="2"/>
      <c r="H6" s="9" t="s">
        <v>6</v>
      </c>
      <c r="I6" s="2">
        <v>0.39300000000000002</v>
      </c>
      <c r="J6" s="10">
        <f t="shared" si="0"/>
        <v>39.300000000000004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15" t="s">
        <v>21</v>
      </c>
      <c r="D7" s="2">
        <v>150</v>
      </c>
      <c r="E7" s="10">
        <v>100</v>
      </c>
      <c r="F7" s="14"/>
      <c r="G7" s="2"/>
      <c r="H7" s="9" t="s">
        <v>7</v>
      </c>
      <c r="I7" s="2">
        <v>0.318</v>
      </c>
      <c r="J7" s="10">
        <f t="shared" si="0"/>
        <v>31.8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15" t="s">
        <v>22</v>
      </c>
      <c r="D8" s="2">
        <v>600</v>
      </c>
      <c r="E8" s="10">
        <v>600</v>
      </c>
      <c r="F8" s="14"/>
      <c r="G8" s="2"/>
      <c r="H8" s="9" t="s">
        <v>3</v>
      </c>
      <c r="I8" s="2">
        <v>0.21099999999999999</v>
      </c>
      <c r="J8" s="10">
        <f t="shared" si="0"/>
        <v>21.099999999999998</v>
      </c>
      <c r="K8" s="2"/>
      <c r="L8" s="2"/>
      <c r="M8" s="2"/>
      <c r="N8" s="2"/>
      <c r="O8" s="2"/>
      <c r="P8" s="2"/>
      <c r="Q8" s="16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15" t="s">
        <v>23</v>
      </c>
      <c r="D9" s="2">
        <v>300</v>
      </c>
      <c r="E9" s="10">
        <v>300</v>
      </c>
      <c r="F9" s="14"/>
      <c r="G9" s="2"/>
      <c r="H9" s="9" t="s">
        <v>8</v>
      </c>
      <c r="I9" s="2">
        <v>1.111E-2</v>
      </c>
      <c r="J9" s="10">
        <f t="shared" si="0"/>
        <v>1.111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15" t="s">
        <v>24</v>
      </c>
      <c r="D10" s="2">
        <v>4500</v>
      </c>
      <c r="E10" s="10">
        <v>1500</v>
      </c>
      <c r="F10" s="2"/>
      <c r="G10" s="2"/>
      <c r="H10" s="9" t="s">
        <v>9</v>
      </c>
      <c r="I10" s="2">
        <v>5.6399999999999999E-2</v>
      </c>
      <c r="J10" s="10">
        <f t="shared" si="0"/>
        <v>5.64</v>
      </c>
      <c r="K10" s="2"/>
      <c r="L10" s="2"/>
      <c r="M10" s="2"/>
      <c r="N10" s="2"/>
      <c r="O10" s="2"/>
      <c r="P10" s="2"/>
      <c r="Q10" s="16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0" t="s">
        <v>25</v>
      </c>
      <c r="D11" s="18">
        <v>10</v>
      </c>
      <c r="E11" s="19">
        <v>10</v>
      </c>
      <c r="F11" s="14"/>
      <c r="G11" s="2"/>
      <c r="H11" s="9" t="s">
        <v>27</v>
      </c>
      <c r="I11" s="2">
        <v>1.0418313E-2</v>
      </c>
      <c r="J11" s="10">
        <f t="shared" si="0"/>
        <v>1.0418313000000001</v>
      </c>
      <c r="K11" s="2"/>
      <c r="L11" s="2"/>
      <c r="M11" s="2"/>
      <c r="N11" s="2"/>
      <c r="O11" s="2"/>
      <c r="P11" s="2"/>
      <c r="Q11" s="16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1"/>
      <c r="D12" s="2"/>
      <c r="E12" s="2"/>
      <c r="F12" s="2"/>
      <c r="G12" s="2"/>
      <c r="H12" s="9" t="s">
        <v>10</v>
      </c>
      <c r="I12" s="2">
        <v>7.168700000000002E-5</v>
      </c>
      <c r="J12" s="10">
        <f t="shared" si="0"/>
        <v>7.1687000000000018E-3</v>
      </c>
      <c r="K12" s="2"/>
      <c r="L12" s="2"/>
      <c r="M12" s="2"/>
      <c r="N12" s="2"/>
      <c r="O12" s="2"/>
      <c r="P12" s="2"/>
      <c r="Q12" s="16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6" t="s">
        <v>26</v>
      </c>
      <c r="D13" s="7" t="s">
        <v>113</v>
      </c>
      <c r="E13" s="7" t="s">
        <v>114</v>
      </c>
      <c r="F13" s="8" t="s">
        <v>114</v>
      </c>
      <c r="G13" s="2"/>
      <c r="H13" s="17" t="s">
        <v>4</v>
      </c>
      <c r="I13" s="18">
        <f>SUM(I5:I12)</f>
        <v>1</v>
      </c>
      <c r="J13" s="19">
        <f>SUM(J5:J12)</f>
        <v>100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11" t="s">
        <v>17</v>
      </c>
      <c r="D14" s="96">
        <v>1</v>
      </c>
      <c r="E14" s="23">
        <f>D14</f>
        <v>1</v>
      </c>
      <c r="F14" s="102">
        <f>D14</f>
        <v>1</v>
      </c>
      <c r="G14" s="2"/>
      <c r="H14" s="2"/>
      <c r="I14" s="2"/>
      <c r="J14" s="2"/>
      <c r="K14" s="22"/>
      <c r="L14" s="2"/>
      <c r="M14" s="2"/>
      <c r="N14" s="2"/>
      <c r="O14" s="2"/>
      <c r="P14" s="2"/>
      <c r="Q14" s="16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15" t="s">
        <v>18</v>
      </c>
      <c r="D15" s="22">
        <v>7.0000000000000001E-3</v>
      </c>
      <c r="E15" s="24">
        <f>D15</f>
        <v>7.0000000000000001E-3</v>
      </c>
      <c r="F15" s="101">
        <f t="shared" ref="F15:F22" si="1">D15</f>
        <v>7.0000000000000001E-3</v>
      </c>
      <c r="G15" s="2"/>
      <c r="H15" s="2"/>
      <c r="I15" s="2"/>
      <c r="J15" s="2"/>
      <c r="K15" s="2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15" t="s">
        <v>19</v>
      </c>
      <c r="D16" s="22">
        <v>1.98</v>
      </c>
      <c r="E16" s="23">
        <f>D16</f>
        <v>1.98</v>
      </c>
      <c r="F16" s="102">
        <f t="shared" si="1"/>
        <v>1.98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15" t="s">
        <v>20</v>
      </c>
      <c r="D17" s="22">
        <v>1</v>
      </c>
      <c r="E17" s="23">
        <f t="shared" ref="E17:E22" si="2">D17</f>
        <v>1</v>
      </c>
      <c r="F17" s="102">
        <f t="shared" si="1"/>
        <v>1</v>
      </c>
      <c r="G17" s="2"/>
      <c r="H17" s="2"/>
      <c r="I17" s="2"/>
      <c r="J17" s="2"/>
      <c r="K17" s="2"/>
      <c r="L17" s="2"/>
      <c r="M17" s="2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15" t="s">
        <v>21</v>
      </c>
      <c r="D18" s="22">
        <v>2.7</v>
      </c>
      <c r="E18" s="23">
        <f t="shared" si="2"/>
        <v>2.7</v>
      </c>
      <c r="F18" s="102">
        <f t="shared" si="1"/>
        <v>2.7</v>
      </c>
      <c r="G18" s="2"/>
      <c r="H18" s="2"/>
      <c r="I18" s="2"/>
      <c r="J18" s="2"/>
      <c r="K18" s="2"/>
      <c r="L18" s="2"/>
      <c r="M18" s="2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15" t="s">
        <v>22</v>
      </c>
      <c r="D19" s="22">
        <v>1</v>
      </c>
      <c r="E19" s="23">
        <f t="shared" si="2"/>
        <v>1</v>
      </c>
      <c r="F19" s="102">
        <f t="shared" si="1"/>
        <v>1</v>
      </c>
      <c r="G19" s="2"/>
      <c r="H19" s="2"/>
      <c r="I19" s="2"/>
      <c r="J19" s="2"/>
      <c r="K19" s="2"/>
      <c r="L19" s="2"/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15" t="s">
        <v>23</v>
      </c>
      <c r="D20" s="22">
        <v>1</v>
      </c>
      <c r="E20" s="23">
        <f t="shared" si="2"/>
        <v>1</v>
      </c>
      <c r="F20" s="102">
        <f t="shared" si="1"/>
        <v>1</v>
      </c>
      <c r="G20" s="2"/>
      <c r="H20" s="2"/>
      <c r="I20" s="2"/>
      <c r="J20" s="2"/>
      <c r="K20" s="2"/>
      <c r="L20" s="2"/>
      <c r="M20" s="2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2"/>
      <c r="C21" s="15" t="s">
        <v>24</v>
      </c>
      <c r="D21" s="22">
        <v>67</v>
      </c>
      <c r="E21" s="23">
        <f t="shared" si="2"/>
        <v>67</v>
      </c>
      <c r="F21" s="102">
        <f t="shared" si="1"/>
        <v>67</v>
      </c>
      <c r="G21" s="2"/>
      <c r="H21" s="2"/>
      <c r="I21" s="2"/>
      <c r="J21" s="2"/>
      <c r="K21" s="2"/>
      <c r="L21" s="2"/>
      <c r="M21" s="2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"/>
      <c r="C22" s="20" t="s">
        <v>25</v>
      </c>
      <c r="D22" s="46">
        <v>1</v>
      </c>
      <c r="E22" s="98">
        <f t="shared" si="2"/>
        <v>1</v>
      </c>
      <c r="F22" s="103">
        <f t="shared" si="1"/>
        <v>1</v>
      </c>
      <c r="G22" s="2"/>
      <c r="H22" s="2"/>
      <c r="I22" s="2"/>
      <c r="J22" s="2"/>
      <c r="K22" s="24"/>
      <c r="L22" s="24"/>
      <c r="M22" s="2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"/>
      <c r="B23" s="2"/>
      <c r="C23" s="30"/>
      <c r="D23" s="31"/>
      <c r="E23" s="14"/>
      <c r="F23" s="2"/>
      <c r="G23" s="30"/>
      <c r="H23" s="2"/>
      <c r="I23" s="9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"/>
      <c r="B24" s="2"/>
      <c r="C24" s="2"/>
      <c r="D24" s="2"/>
      <c r="E24" s="2"/>
      <c r="F24" s="2"/>
      <c r="G24" s="2"/>
      <c r="H24" s="2"/>
      <c r="I24" s="95"/>
      <c r="J24" s="2"/>
      <c r="K24" s="2"/>
      <c r="L24" s="2"/>
      <c r="M24" s="2"/>
      <c r="N24" s="2" t="s">
        <v>106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" x14ac:dyDescent="0.4">
      <c r="A25" s="2"/>
      <c r="B25" s="2"/>
      <c r="C25" s="88" t="s">
        <v>102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43"/>
    </row>
    <row r="26" spans="1:25" x14ac:dyDescent="0.3">
      <c r="A26" s="2"/>
      <c r="B26" s="2"/>
      <c r="C26" s="32" t="s">
        <v>28</v>
      </c>
      <c r="D26" s="33"/>
      <c r="E26" s="33">
        <f>J31*I10*1000</f>
        <v>88.138242720000008</v>
      </c>
      <c r="F26" s="34" t="s">
        <v>29</v>
      </c>
      <c r="G26" s="2"/>
      <c r="H26" s="25" t="s">
        <v>0</v>
      </c>
      <c r="I26" s="12"/>
      <c r="J26" s="12">
        <f>1-0.737</f>
        <v>0.26300000000000001</v>
      </c>
      <c r="K26" s="26" t="s">
        <v>1</v>
      </c>
      <c r="L26" s="2"/>
      <c r="M26" s="2"/>
      <c r="N26" s="32" t="s">
        <v>40</v>
      </c>
      <c r="O26" s="54"/>
      <c r="P26" s="54">
        <f>J31*1000*I7</f>
        <v>496.94966640000007</v>
      </c>
      <c r="Q26" s="34" t="s">
        <v>29</v>
      </c>
      <c r="R26" s="2"/>
      <c r="S26" s="2"/>
      <c r="T26" s="2"/>
      <c r="U26" s="2"/>
      <c r="V26" s="2"/>
      <c r="W26" s="2"/>
      <c r="X26" s="2"/>
      <c r="Y26" s="47"/>
    </row>
    <row r="27" spans="1:25" x14ac:dyDescent="0.3">
      <c r="A27" s="2"/>
      <c r="B27" s="2"/>
      <c r="C27" s="35" t="s">
        <v>28</v>
      </c>
      <c r="D27" s="36"/>
      <c r="E27" s="37">
        <f>E26/1000</f>
        <v>8.813824272000001E-2</v>
      </c>
      <c r="F27" s="38" t="s">
        <v>13</v>
      </c>
      <c r="G27" s="2"/>
      <c r="H27" s="27" t="s">
        <v>33</v>
      </c>
      <c r="I27" s="2"/>
      <c r="J27" s="2">
        <v>1395</v>
      </c>
      <c r="K27" s="28" t="s">
        <v>14</v>
      </c>
      <c r="L27" s="2"/>
      <c r="M27" s="2"/>
      <c r="N27" s="35" t="s">
        <v>40</v>
      </c>
      <c r="O27" s="56"/>
      <c r="P27" s="56">
        <f>P26/1000</f>
        <v>0.49694966640000005</v>
      </c>
      <c r="Q27" s="38" t="s">
        <v>13</v>
      </c>
      <c r="R27" s="2"/>
      <c r="S27" s="2"/>
      <c r="T27" s="2"/>
      <c r="U27" s="2"/>
      <c r="V27" s="2"/>
      <c r="W27" s="2"/>
      <c r="X27" s="2"/>
      <c r="Y27" s="24"/>
    </row>
    <row r="28" spans="1:25" x14ac:dyDescent="0.3">
      <c r="A28" s="2"/>
      <c r="B28" s="2"/>
      <c r="C28" s="58" t="s">
        <v>30</v>
      </c>
      <c r="D28" s="37"/>
      <c r="E28" s="37">
        <f>3600*E27</f>
        <v>317.29767379200001</v>
      </c>
      <c r="F28" s="39" t="s">
        <v>166</v>
      </c>
      <c r="G28" s="2"/>
      <c r="H28" s="27" t="s">
        <v>15</v>
      </c>
      <c r="I28" s="2"/>
      <c r="J28" s="95">
        <v>19</v>
      </c>
      <c r="K28" s="28" t="s">
        <v>16</v>
      </c>
      <c r="L28" s="2"/>
      <c r="M28" s="2"/>
      <c r="N28" s="35" t="s">
        <v>30</v>
      </c>
      <c r="O28" s="56"/>
      <c r="P28" s="56">
        <f>3600*P27</f>
        <v>1789.0187990400002</v>
      </c>
      <c r="Q28" s="39" t="s">
        <v>32</v>
      </c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40" t="s">
        <v>31</v>
      </c>
      <c r="D29" s="41"/>
      <c r="E29" s="41">
        <f>E28*24</f>
        <v>7615.1441710079998</v>
      </c>
      <c r="F29" s="42" t="s">
        <v>167</v>
      </c>
      <c r="G29" s="2"/>
      <c r="H29" s="27" t="s">
        <v>15</v>
      </c>
      <c r="I29" s="2"/>
      <c r="J29" s="2">
        <f>J28*J27/1000</f>
        <v>26.504999999999999</v>
      </c>
      <c r="K29" s="28" t="s">
        <v>13</v>
      </c>
      <c r="L29" s="2"/>
      <c r="M29" s="2"/>
      <c r="N29" s="40" t="s">
        <v>31</v>
      </c>
      <c r="O29" s="41"/>
      <c r="P29" s="41">
        <f>P28*24</f>
        <v>42936.451176960007</v>
      </c>
      <c r="Q29" s="42" t="s">
        <v>32</v>
      </c>
      <c r="R29" s="2"/>
      <c r="S29" s="2"/>
      <c r="T29" s="2"/>
      <c r="U29" s="2"/>
      <c r="V29" s="2"/>
      <c r="W29" s="2"/>
      <c r="X29" s="2"/>
      <c r="Y29" s="2"/>
    </row>
    <row r="30" spans="1:25" ht="18" x14ac:dyDescent="0.4">
      <c r="A30" s="2"/>
      <c r="B30" s="2"/>
      <c r="C30" s="89" t="s">
        <v>103</v>
      </c>
      <c r="D30" s="7"/>
      <c r="E30" s="7"/>
      <c r="F30" s="8"/>
      <c r="G30" s="2"/>
      <c r="H30" s="44" t="s">
        <v>34</v>
      </c>
      <c r="I30" s="22"/>
      <c r="J30" s="90">
        <v>8</v>
      </c>
      <c r="K30" s="28" t="s">
        <v>11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50" t="s">
        <v>35</v>
      </c>
      <c r="D31" s="51"/>
      <c r="E31" s="12"/>
      <c r="F31" s="13"/>
      <c r="G31" s="2" t="s">
        <v>41</v>
      </c>
      <c r="H31" s="45" t="s">
        <v>34</v>
      </c>
      <c r="I31" s="46"/>
      <c r="J31" s="91">
        <f>($J$29-$J$29*$J$26)*($J$30/100)</f>
        <v>1.5627348000000001</v>
      </c>
      <c r="K31" s="29" t="s">
        <v>13</v>
      </c>
      <c r="L31" s="2"/>
      <c r="M31" s="2"/>
      <c r="N31" s="50" t="s">
        <v>35</v>
      </c>
      <c r="O31" s="51"/>
      <c r="P31" s="12"/>
      <c r="Q31" s="13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7" t="s">
        <v>36</v>
      </c>
      <c r="D32" s="2"/>
      <c r="E32" s="2">
        <v>61</v>
      </c>
      <c r="F32" s="10" t="s">
        <v>11</v>
      </c>
      <c r="G32" s="2" t="s">
        <v>42</v>
      </c>
      <c r="H32" s="2"/>
      <c r="I32" s="2"/>
      <c r="J32" s="2"/>
      <c r="K32" s="2"/>
      <c r="L32" s="2"/>
      <c r="M32" s="2"/>
      <c r="N32" s="27" t="s">
        <v>36</v>
      </c>
      <c r="O32" s="2"/>
      <c r="P32" s="2">
        <v>76</v>
      </c>
      <c r="Q32" s="10" t="s">
        <v>11</v>
      </c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7" t="s">
        <v>38</v>
      </c>
      <c r="D33" s="2"/>
      <c r="E33" s="2">
        <v>71</v>
      </c>
      <c r="F33" s="10" t="s">
        <v>11</v>
      </c>
      <c r="G33" s="2"/>
      <c r="H33" s="48" t="s">
        <v>44</v>
      </c>
      <c r="I33" s="12">
        <v>57.48</v>
      </c>
      <c r="J33" s="13" t="s">
        <v>11</v>
      </c>
      <c r="K33" s="2"/>
      <c r="L33" s="2"/>
      <c r="M33" s="2"/>
      <c r="N33" s="27" t="s">
        <v>38</v>
      </c>
      <c r="O33" s="2"/>
      <c r="P33" s="2">
        <v>84</v>
      </c>
      <c r="Q33" s="10" t="s">
        <v>11</v>
      </c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7" t="s">
        <v>39</v>
      </c>
      <c r="D34" s="2"/>
      <c r="E34" s="2">
        <v>89</v>
      </c>
      <c r="F34" s="10" t="s">
        <v>11</v>
      </c>
      <c r="G34" s="2"/>
      <c r="H34" s="49" t="s">
        <v>47</v>
      </c>
      <c r="I34" s="18">
        <v>300</v>
      </c>
      <c r="J34" s="19" t="s">
        <v>48</v>
      </c>
      <c r="K34" s="2"/>
      <c r="L34" s="2"/>
      <c r="M34" s="2"/>
      <c r="N34" s="27" t="s">
        <v>39</v>
      </c>
      <c r="O34" s="2"/>
      <c r="P34" s="2">
        <v>90</v>
      </c>
      <c r="Q34" s="10" t="s">
        <v>11</v>
      </c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7" t="s">
        <v>37</v>
      </c>
      <c r="D35" s="2"/>
      <c r="E35" s="2">
        <v>75</v>
      </c>
      <c r="F35" s="10" t="s">
        <v>11</v>
      </c>
      <c r="G35" s="2"/>
      <c r="H35" s="2"/>
      <c r="I35" s="2"/>
      <c r="J35" s="2"/>
      <c r="K35" s="2"/>
      <c r="L35" s="2"/>
      <c r="M35" s="2"/>
      <c r="N35" s="27" t="s">
        <v>37</v>
      </c>
      <c r="O35" s="2"/>
      <c r="P35" s="2">
        <v>70</v>
      </c>
      <c r="Q35" s="10" t="s">
        <v>11</v>
      </c>
      <c r="R35" s="2"/>
      <c r="S35" s="2"/>
      <c r="T35" s="2"/>
      <c r="U35" s="2"/>
      <c r="V35" s="2"/>
      <c r="W35" s="2"/>
      <c r="X35" s="2"/>
      <c r="Y35" s="2"/>
    </row>
    <row r="36" spans="1:25" x14ac:dyDescent="0.3">
      <c r="A36" s="2"/>
      <c r="B36" s="2"/>
      <c r="C36" s="49" t="s">
        <v>111</v>
      </c>
      <c r="D36" s="18"/>
      <c r="E36" s="18">
        <v>82</v>
      </c>
      <c r="F36" s="19" t="s">
        <v>11</v>
      </c>
      <c r="G36" s="2"/>
      <c r="H36" s="2"/>
      <c r="I36" s="2"/>
      <c r="J36" s="2"/>
      <c r="K36" s="2"/>
      <c r="L36" s="2"/>
      <c r="M36" s="2"/>
      <c r="N36" s="49" t="s">
        <v>111</v>
      </c>
      <c r="O36" s="18"/>
      <c r="P36" s="18">
        <v>97</v>
      </c>
      <c r="Q36" s="19" t="s">
        <v>11</v>
      </c>
      <c r="R36" s="2"/>
      <c r="S36" s="2"/>
      <c r="T36" s="2"/>
      <c r="U36" s="2"/>
      <c r="V36" s="2"/>
      <c r="W36" s="2"/>
      <c r="X36" s="2"/>
      <c r="Y36" s="2"/>
    </row>
    <row r="37" spans="1:25" x14ac:dyDescent="0.3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3">
      <c r="A38" s="2"/>
      <c r="B38" s="2"/>
      <c r="C38" s="50" t="s">
        <v>35</v>
      </c>
      <c r="D38" s="51"/>
      <c r="E38" s="12"/>
      <c r="F38" s="13"/>
      <c r="G38" s="2"/>
      <c r="H38" s="48" t="s">
        <v>57</v>
      </c>
      <c r="I38" s="12">
        <v>660</v>
      </c>
      <c r="J38" s="13" t="s">
        <v>48</v>
      </c>
      <c r="K38" s="2" t="s">
        <v>56</v>
      </c>
      <c r="L38" s="2"/>
      <c r="M38" s="2"/>
      <c r="N38" s="50" t="s">
        <v>43</v>
      </c>
      <c r="O38" s="51"/>
      <c r="P38" s="51"/>
      <c r="Q38" s="13"/>
      <c r="R38" s="2"/>
      <c r="S38" s="2"/>
      <c r="T38" s="2"/>
      <c r="U38" s="2"/>
      <c r="V38" s="2"/>
      <c r="W38" s="2"/>
      <c r="X38" s="2"/>
      <c r="Y38" s="2"/>
    </row>
    <row r="39" spans="1:25" x14ac:dyDescent="0.3">
      <c r="A39" s="2"/>
      <c r="B39" s="2"/>
      <c r="C39" s="27" t="s">
        <v>36</v>
      </c>
      <c r="E39" s="52">
        <f>$E$29*E32%</f>
        <v>4645.2379443148802</v>
      </c>
      <c r="F39" s="10" t="s">
        <v>32</v>
      </c>
      <c r="G39" s="2"/>
      <c r="H39" s="27" t="s">
        <v>82</v>
      </c>
      <c r="I39" s="2">
        <v>349</v>
      </c>
      <c r="J39" s="10" t="s">
        <v>48</v>
      </c>
      <c r="K39" s="2" t="s">
        <v>143</v>
      </c>
      <c r="L39" s="2"/>
      <c r="M39" s="2"/>
      <c r="N39" s="27" t="s">
        <v>36</v>
      </c>
      <c r="O39" s="2"/>
      <c r="P39" s="52">
        <f>$P$29*P32%</f>
        <v>32631.702894489605</v>
      </c>
      <c r="Q39" s="10" t="s">
        <v>32</v>
      </c>
      <c r="R39" s="2"/>
      <c r="S39" s="2"/>
      <c r="T39" s="2"/>
      <c r="U39" s="2"/>
      <c r="V39" s="2"/>
      <c r="W39" s="2"/>
      <c r="X39" s="2"/>
      <c r="Y39" s="2"/>
    </row>
    <row r="40" spans="1:25" x14ac:dyDescent="0.3">
      <c r="A40" s="2"/>
      <c r="B40" s="2"/>
      <c r="C40" s="27" t="s">
        <v>38</v>
      </c>
      <c r="D40" s="2"/>
      <c r="E40" s="52">
        <f>$E$29*E33%</f>
        <v>5406.7523614156798</v>
      </c>
      <c r="F40" s="10" t="s">
        <v>32</v>
      </c>
      <c r="G40" s="2"/>
      <c r="H40" s="27" t="s">
        <v>83</v>
      </c>
      <c r="I40" s="2">
        <v>1338</v>
      </c>
      <c r="J40" s="10" t="s">
        <v>48</v>
      </c>
      <c r="K40" s="2" t="s">
        <v>84</v>
      </c>
      <c r="L40" s="2"/>
      <c r="M40" s="2"/>
      <c r="N40" s="27" t="s">
        <v>38</v>
      </c>
      <c r="O40" s="2"/>
      <c r="P40" s="52">
        <f>$P$29*P33%</f>
        <v>36066.618988646405</v>
      </c>
      <c r="Q40" s="10" t="s">
        <v>32</v>
      </c>
      <c r="R40" s="2"/>
      <c r="S40" s="2"/>
      <c r="T40" s="2"/>
      <c r="U40" s="2"/>
      <c r="V40" s="2"/>
      <c r="W40" s="2"/>
      <c r="X40" s="2"/>
      <c r="Y40" s="2"/>
    </row>
    <row r="41" spans="1:25" x14ac:dyDescent="0.3">
      <c r="A41" s="2"/>
      <c r="B41" s="2"/>
      <c r="C41" s="27" t="s">
        <v>39</v>
      </c>
      <c r="D41" s="2"/>
      <c r="E41" s="52">
        <f>$E$29*E34%</f>
        <v>6777.4783121971195</v>
      </c>
      <c r="F41" s="10" t="s">
        <v>32</v>
      </c>
      <c r="G41" s="2"/>
      <c r="H41" s="49" t="s">
        <v>85</v>
      </c>
      <c r="I41" s="18">
        <v>814</v>
      </c>
      <c r="J41" s="19" t="s">
        <v>48</v>
      </c>
      <c r="K41" s="2" t="s">
        <v>142</v>
      </c>
      <c r="L41" s="2"/>
      <c r="M41" s="2"/>
      <c r="N41" s="27" t="s">
        <v>39</v>
      </c>
      <c r="O41" s="2"/>
      <c r="P41" s="52">
        <f>$P$29*P34%</f>
        <v>38642.80605926401</v>
      </c>
      <c r="Q41" s="10" t="s">
        <v>32</v>
      </c>
      <c r="R41" s="2"/>
      <c r="S41" s="2"/>
      <c r="T41" s="2"/>
      <c r="U41" s="2"/>
      <c r="V41" s="2"/>
      <c r="W41" s="2"/>
      <c r="X41" s="2"/>
      <c r="Y41" s="2"/>
    </row>
    <row r="42" spans="1:25" x14ac:dyDescent="0.3">
      <c r="A42" s="2"/>
      <c r="B42" s="2"/>
      <c r="C42" s="27" t="s">
        <v>37</v>
      </c>
      <c r="D42" s="2"/>
      <c r="E42" s="52">
        <f>$E$29*E35%</f>
        <v>5711.3581282559999</v>
      </c>
      <c r="F42" s="10" t="s">
        <v>32</v>
      </c>
      <c r="G42" s="2"/>
      <c r="H42" s="2"/>
      <c r="I42" s="2"/>
      <c r="J42" s="2"/>
      <c r="K42" s="2"/>
      <c r="L42" s="2"/>
      <c r="M42" s="2"/>
      <c r="N42" s="27" t="s">
        <v>37</v>
      </c>
      <c r="O42" s="2"/>
      <c r="P42" s="52">
        <f>$P$29*P35%</f>
        <v>30055.515823872003</v>
      </c>
      <c r="Q42" s="10" t="s">
        <v>32</v>
      </c>
      <c r="R42" s="2"/>
      <c r="S42" s="2"/>
      <c r="T42" s="2"/>
      <c r="U42" s="2"/>
      <c r="V42" s="2"/>
      <c r="W42" s="2"/>
      <c r="X42" s="2"/>
      <c r="Y42" s="2"/>
    </row>
    <row r="43" spans="1:25" x14ac:dyDescent="0.3">
      <c r="A43" s="2"/>
      <c r="B43" s="2"/>
      <c r="C43" s="49" t="s">
        <v>111</v>
      </c>
      <c r="D43" s="18"/>
      <c r="E43" s="53">
        <f>$E$29*E36%</f>
        <v>6244.4182202265592</v>
      </c>
      <c r="F43" s="19" t="s">
        <v>32</v>
      </c>
      <c r="G43" s="2"/>
      <c r="H43" s="2"/>
      <c r="I43" s="2"/>
      <c r="J43" s="2"/>
      <c r="K43" s="2"/>
      <c r="L43" s="2"/>
      <c r="M43" s="2"/>
      <c r="N43" s="49" t="s">
        <v>111</v>
      </c>
      <c r="O43" s="18"/>
      <c r="P43" s="53">
        <f>$P$29*P36%</f>
        <v>41648.357641651208</v>
      </c>
      <c r="Q43" s="19" t="s">
        <v>32</v>
      </c>
      <c r="R43" s="2"/>
      <c r="S43" s="2"/>
      <c r="T43" s="2"/>
      <c r="U43" s="2"/>
      <c r="V43" s="2"/>
      <c r="W43" s="2"/>
      <c r="X43" s="2"/>
      <c r="Y43" s="2"/>
    </row>
    <row r="44" spans="1:25" ht="18" x14ac:dyDescent="0.4">
      <c r="A44" s="2"/>
      <c r="B44" s="2"/>
      <c r="C44" s="88" t="s">
        <v>104</v>
      </c>
      <c r="D44" s="2"/>
      <c r="E44" s="2"/>
      <c r="F44" s="2"/>
      <c r="G44" s="2"/>
      <c r="H44" s="88" t="s">
        <v>105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3">
      <c r="A45" s="2"/>
      <c r="B45" s="2"/>
      <c r="C45" s="50" t="s">
        <v>50</v>
      </c>
      <c r="D45" s="12"/>
      <c r="E45" s="12"/>
      <c r="F45" s="13"/>
      <c r="G45" s="2"/>
      <c r="H45" s="48" t="s">
        <v>87</v>
      </c>
      <c r="I45" s="12"/>
      <c r="J45" s="13"/>
      <c r="K45" s="13" t="s">
        <v>155</v>
      </c>
      <c r="L45" s="2"/>
      <c r="M45" s="2"/>
      <c r="N45" s="50" t="s">
        <v>45</v>
      </c>
      <c r="O45" s="51"/>
      <c r="P45" s="12"/>
      <c r="Q45" s="13"/>
      <c r="R45" s="2"/>
      <c r="S45" s="2"/>
      <c r="T45" s="2"/>
      <c r="U45" s="2"/>
      <c r="V45" s="2"/>
      <c r="W45" s="2"/>
      <c r="X45" s="2"/>
      <c r="Y45" s="2"/>
    </row>
    <row r="46" spans="1:25" x14ac:dyDescent="0.3">
      <c r="A46" s="2"/>
      <c r="B46" s="2"/>
      <c r="C46" s="27" t="s">
        <v>51</v>
      </c>
      <c r="D46" s="2"/>
      <c r="E46" s="2">
        <v>32.799999999999997</v>
      </c>
      <c r="F46" s="10" t="s">
        <v>11</v>
      </c>
      <c r="G46" s="2"/>
      <c r="H46" s="27" t="s">
        <v>88</v>
      </c>
      <c r="I46" s="2">
        <v>0</v>
      </c>
      <c r="J46" s="10" t="s">
        <v>11</v>
      </c>
      <c r="K46" s="10">
        <f>(39.098+15.99+1.0079)/1000</f>
        <v>5.6095899999999997E-2</v>
      </c>
      <c r="L46" s="2"/>
      <c r="M46" s="2"/>
      <c r="N46" s="27" t="s">
        <v>36</v>
      </c>
      <c r="O46" s="2"/>
      <c r="P46" s="52">
        <f>P39/$I$33%/1000</f>
        <v>56.770533915256799</v>
      </c>
      <c r="Q46" s="10" t="s">
        <v>49</v>
      </c>
      <c r="R46" s="2"/>
      <c r="S46" s="2"/>
      <c r="T46" s="2"/>
      <c r="U46" s="2"/>
      <c r="V46" s="2"/>
      <c r="W46" s="2"/>
      <c r="X46" s="2"/>
      <c r="Y46" s="2"/>
    </row>
    <row r="47" spans="1:25" x14ac:dyDescent="0.3">
      <c r="A47" s="2"/>
      <c r="B47" s="2"/>
      <c r="C47" s="27" t="s">
        <v>52</v>
      </c>
      <c r="D47" s="2"/>
      <c r="E47" s="2">
        <f>2*E46</f>
        <v>65.599999999999994</v>
      </c>
      <c r="F47" s="10" t="s">
        <v>11</v>
      </c>
      <c r="G47" s="2" t="s">
        <v>59</v>
      </c>
      <c r="H47" s="27" t="s">
        <v>89</v>
      </c>
      <c r="I47" s="2">
        <v>1.8</v>
      </c>
      <c r="J47" s="10" t="s">
        <v>11</v>
      </c>
      <c r="K47" s="10">
        <f>(39.098+35.45)/1000</f>
        <v>7.4548000000000003E-2</v>
      </c>
      <c r="L47" s="2"/>
      <c r="M47" s="2"/>
      <c r="N47" s="27" t="s">
        <v>38</v>
      </c>
      <c r="O47" s="2"/>
      <c r="P47" s="52">
        <f>P40/$I$33%/1000</f>
        <v>62.746379590546979</v>
      </c>
      <c r="Q47" s="10" t="s">
        <v>49</v>
      </c>
      <c r="R47" s="2"/>
      <c r="S47" s="2"/>
      <c r="T47" s="2"/>
      <c r="U47" s="2"/>
      <c r="V47" s="2"/>
      <c r="W47" s="2"/>
      <c r="X47" s="2"/>
      <c r="Y47" s="2"/>
    </row>
    <row r="48" spans="1:25" x14ac:dyDescent="0.3">
      <c r="A48" s="2"/>
      <c r="B48" s="2"/>
      <c r="C48" s="27" t="s">
        <v>121</v>
      </c>
      <c r="D48" s="2"/>
      <c r="E48" s="2">
        <v>88.2</v>
      </c>
      <c r="F48" s="10" t="s">
        <v>11</v>
      </c>
      <c r="G48" s="2" t="s">
        <v>60</v>
      </c>
      <c r="H48" s="27" t="s">
        <v>90</v>
      </c>
      <c r="I48" s="1">
        <v>8.4</v>
      </c>
      <c r="J48" s="10" t="s">
        <v>11</v>
      </c>
      <c r="K48" s="10">
        <f>(2*39.098+12.011+3*15.999)/1000</f>
        <v>0.13820400000000002</v>
      </c>
      <c r="L48" s="2"/>
      <c r="M48" s="2"/>
      <c r="N48" s="27" t="s">
        <v>39</v>
      </c>
      <c r="O48" s="2"/>
      <c r="P48" s="52">
        <f>P41/$I$33%/1000</f>
        <v>67.228263847014631</v>
      </c>
      <c r="Q48" s="10" t="s">
        <v>49</v>
      </c>
      <c r="R48" s="2"/>
      <c r="S48" s="2"/>
      <c r="T48" s="2"/>
      <c r="U48" s="2"/>
      <c r="V48" s="2"/>
      <c r="W48" s="2"/>
      <c r="X48" s="2"/>
      <c r="Y48" s="2"/>
    </row>
    <row r="49" spans="1:25" x14ac:dyDescent="0.3">
      <c r="A49" s="2"/>
      <c r="B49" s="2"/>
      <c r="C49" s="49" t="s">
        <v>61</v>
      </c>
      <c r="D49" s="18"/>
      <c r="E49" s="18">
        <v>95.37</v>
      </c>
      <c r="F49" s="19" t="s">
        <v>11</v>
      </c>
      <c r="G49" s="2"/>
      <c r="H49" s="49" t="s">
        <v>91</v>
      </c>
      <c r="I49" s="18">
        <v>89.8</v>
      </c>
      <c r="J49" s="19" t="s">
        <v>11</v>
      </c>
      <c r="K49" s="19">
        <f>(2*39.098+32.06+4*15.999)/1000</f>
        <v>0.17425200000000002</v>
      </c>
      <c r="L49" s="2"/>
      <c r="M49" s="2"/>
      <c r="N49" s="27" t="s">
        <v>37</v>
      </c>
      <c r="O49" s="2"/>
      <c r="P49" s="52">
        <f>P42/$I$33%/1000</f>
        <v>52.288649658789154</v>
      </c>
      <c r="Q49" s="10" t="s">
        <v>49</v>
      </c>
      <c r="R49" s="2"/>
      <c r="S49" s="2"/>
      <c r="T49" s="2"/>
      <c r="U49" s="2"/>
      <c r="V49" s="2"/>
      <c r="W49" s="2"/>
      <c r="X49" s="2"/>
      <c r="Y49" s="2"/>
    </row>
    <row r="50" spans="1:2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49" t="s">
        <v>111</v>
      </c>
      <c r="O50" s="18"/>
      <c r="P50" s="53">
        <f>P43/$I$33%/1000</f>
        <v>72.457128812893544</v>
      </c>
      <c r="Q50" s="19" t="s">
        <v>49</v>
      </c>
      <c r="R50" s="2"/>
      <c r="S50" s="2"/>
      <c r="T50" s="2"/>
      <c r="U50" s="2"/>
      <c r="V50" s="2"/>
      <c r="W50" s="2"/>
      <c r="X50" s="2"/>
      <c r="Y50" s="2"/>
    </row>
    <row r="51" spans="1:25" x14ac:dyDescent="0.3">
      <c r="A51" s="2"/>
      <c r="B51" s="2"/>
      <c r="C51" s="2"/>
      <c r="D51" s="2"/>
      <c r="E51" s="2"/>
      <c r="F51" s="2"/>
      <c r="G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3">
      <c r="A52" s="2"/>
      <c r="B52" s="2"/>
      <c r="C52" s="2"/>
      <c r="D52" s="2"/>
      <c r="E52" s="2"/>
      <c r="F52" s="2"/>
      <c r="G52" s="2"/>
      <c r="H52" s="48" t="s">
        <v>157</v>
      </c>
      <c r="I52" s="12" t="s">
        <v>156</v>
      </c>
      <c r="J52" s="13" t="s">
        <v>160</v>
      </c>
      <c r="K52" s="2"/>
      <c r="L52" s="2"/>
      <c r="M52" s="2"/>
      <c r="N52" s="50" t="s">
        <v>45</v>
      </c>
      <c r="O52" s="51"/>
      <c r="P52" s="12"/>
      <c r="Q52" s="13"/>
      <c r="R52" s="2"/>
      <c r="S52" s="2"/>
      <c r="T52" s="2"/>
      <c r="U52" s="2"/>
      <c r="V52" s="2"/>
      <c r="W52" s="2"/>
      <c r="X52" s="2"/>
      <c r="Y52" s="2"/>
    </row>
    <row r="53" spans="1:25" x14ac:dyDescent="0.3">
      <c r="A53" s="2"/>
      <c r="B53" s="2"/>
      <c r="C53" s="2"/>
      <c r="D53" s="2"/>
      <c r="E53" s="2"/>
      <c r="F53" s="2"/>
      <c r="G53" s="2"/>
      <c r="H53" s="27" t="s">
        <v>88</v>
      </c>
      <c r="I53" s="2">
        <f>I46*$E$29/100</f>
        <v>0</v>
      </c>
      <c r="J53" s="10">
        <f>(39.098/1000)/K46</f>
        <v>0.69698498464237146</v>
      </c>
      <c r="K53" s="2"/>
      <c r="L53" s="2"/>
      <c r="M53" s="2"/>
      <c r="N53" s="27" t="s">
        <v>36</v>
      </c>
      <c r="O53" s="2"/>
      <c r="P53" s="52">
        <f>$I$34*P46</f>
        <v>17031.160174577039</v>
      </c>
      <c r="Q53" s="10" t="s">
        <v>46</v>
      </c>
      <c r="R53" s="2"/>
      <c r="S53" s="2"/>
      <c r="T53" s="2"/>
      <c r="U53" s="2"/>
      <c r="V53" s="2"/>
      <c r="W53" s="2"/>
      <c r="X53" s="2"/>
      <c r="Y53" s="2"/>
    </row>
    <row r="54" spans="1:25" x14ac:dyDescent="0.3">
      <c r="A54" s="2"/>
      <c r="B54" s="2"/>
      <c r="C54" s="2"/>
      <c r="D54" s="2"/>
      <c r="E54" s="2"/>
      <c r="F54" s="2"/>
      <c r="G54" s="2"/>
      <c r="H54" s="27" t="s">
        <v>89</v>
      </c>
      <c r="I54" s="2">
        <f>I47*$E$29/100</f>
        <v>137.07259507814399</v>
      </c>
      <c r="J54" s="10">
        <f>(39.098/1000)/K47</f>
        <v>0.52446745720877819</v>
      </c>
      <c r="K54" s="2"/>
      <c r="L54" s="2"/>
      <c r="M54" s="2"/>
      <c r="N54" s="27" t="s">
        <v>38</v>
      </c>
      <c r="O54" s="2"/>
      <c r="P54" s="52">
        <f>$I$34*P47</f>
        <v>18823.913877164094</v>
      </c>
      <c r="Q54" s="10" t="s">
        <v>46</v>
      </c>
      <c r="R54" s="2"/>
      <c r="S54" s="2"/>
      <c r="T54" s="2"/>
      <c r="U54" s="2"/>
      <c r="V54" s="2"/>
      <c r="W54" s="2"/>
      <c r="X54" s="2"/>
      <c r="Y54" s="2"/>
    </row>
    <row r="55" spans="1:25" x14ac:dyDescent="0.3">
      <c r="A55" s="2"/>
      <c r="B55" s="2"/>
      <c r="C55" s="2"/>
      <c r="D55" s="2"/>
      <c r="E55" s="2"/>
      <c r="F55" s="2"/>
      <c r="G55" s="2"/>
      <c r="H55" s="27" t="s">
        <v>90</v>
      </c>
      <c r="I55" s="2">
        <f>I48*$E$29/100</f>
        <v>639.67211036467199</v>
      </c>
      <c r="J55" s="10">
        <f>(2*39.098/1000)/K48</f>
        <v>0.56580127926832791</v>
      </c>
      <c r="K55" s="2"/>
      <c r="L55" s="2"/>
      <c r="M55" s="2"/>
      <c r="N55" s="27" t="s">
        <v>39</v>
      </c>
      <c r="O55" s="2"/>
      <c r="P55" s="52">
        <f>$I$34*P48</f>
        <v>20168.479154104389</v>
      </c>
      <c r="Q55" s="10" t="s">
        <v>46</v>
      </c>
      <c r="R55" s="2"/>
      <c r="S55" s="2"/>
      <c r="T55" s="2"/>
      <c r="U55" s="2"/>
      <c r="V55" s="2"/>
      <c r="W55" s="2"/>
      <c r="X55" s="2"/>
      <c r="Y55" s="2"/>
    </row>
    <row r="56" spans="1:25" x14ac:dyDescent="0.3">
      <c r="A56" s="2"/>
      <c r="B56" s="2"/>
      <c r="C56" s="2"/>
      <c r="D56" s="2"/>
      <c r="E56" s="2"/>
      <c r="F56" s="2"/>
      <c r="G56" s="2"/>
      <c r="H56" s="49" t="s">
        <v>91</v>
      </c>
      <c r="I56" s="18">
        <f>I49*$E$29/100</f>
        <v>6838.3994655651832</v>
      </c>
      <c r="J56" s="19">
        <f>(2*39.098/1000)/K49</f>
        <v>0.44875238160824549</v>
      </c>
      <c r="K56" s="2"/>
      <c r="L56" s="2"/>
      <c r="M56" s="2"/>
      <c r="N56" s="27" t="s">
        <v>37</v>
      </c>
      <c r="O56" s="2"/>
      <c r="P56" s="52">
        <f>$I$34*P49</f>
        <v>15686.594897636747</v>
      </c>
      <c r="Q56" s="10" t="s">
        <v>46</v>
      </c>
      <c r="R56" s="2"/>
      <c r="S56" s="2"/>
      <c r="T56" s="2"/>
      <c r="U56" s="2"/>
      <c r="V56" s="2"/>
      <c r="W56" s="2"/>
      <c r="X56" s="2"/>
      <c r="Y56" s="2"/>
    </row>
    <row r="57" spans="1:25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49" t="s">
        <v>111</v>
      </c>
      <c r="O57" s="18"/>
      <c r="P57" s="53">
        <f>$I$34*P50</f>
        <v>21737.138643868064</v>
      </c>
      <c r="Q57" s="19" t="s">
        <v>46</v>
      </c>
      <c r="R57" s="2"/>
      <c r="S57" s="2"/>
      <c r="T57" s="2"/>
      <c r="U57" s="2"/>
      <c r="V57" s="2"/>
      <c r="W57" s="2"/>
      <c r="X57" s="2"/>
      <c r="Y57" s="2"/>
    </row>
    <row r="58" spans="1:25" x14ac:dyDescent="0.3">
      <c r="A58" s="2"/>
      <c r="B58" s="2"/>
      <c r="C58" s="2"/>
      <c r="D58" s="2"/>
      <c r="E58" s="2"/>
      <c r="F58" s="2"/>
      <c r="G58" s="2"/>
      <c r="H58" s="48" t="s">
        <v>158</v>
      </c>
      <c r="I58" s="123" t="s">
        <v>159</v>
      </c>
      <c r="J58" s="13" t="s">
        <v>161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3">
      <c r="A59" s="2"/>
      <c r="B59" s="2"/>
      <c r="C59" s="2"/>
      <c r="D59" s="2"/>
      <c r="E59" s="2"/>
      <c r="F59" s="2"/>
      <c r="G59" s="2"/>
      <c r="H59" s="27" t="s">
        <v>88</v>
      </c>
      <c r="I59" s="52">
        <f>I53/J53</f>
        <v>0</v>
      </c>
      <c r="J59" s="10">
        <f>I59/$I$63</f>
        <v>0</v>
      </c>
      <c r="K59" s="2"/>
      <c r="L59" s="2"/>
      <c r="M59" s="2"/>
      <c r="N59" s="2"/>
      <c r="O59" s="2"/>
      <c r="P59" s="2"/>
      <c r="Q59" s="2"/>
      <c r="R59" s="2"/>
      <c r="S59" s="2"/>
      <c r="T59" s="52"/>
      <c r="U59" s="52"/>
      <c r="V59" s="2"/>
      <c r="W59" s="2"/>
      <c r="X59" s="2"/>
      <c r="Y59" s="2"/>
    </row>
    <row r="60" spans="1:25" x14ac:dyDescent="0.3">
      <c r="A60" s="2"/>
      <c r="B60" s="2"/>
      <c r="C60" s="2"/>
      <c r="D60" s="2"/>
      <c r="E60" s="2"/>
      <c r="F60" s="2"/>
      <c r="G60" s="2"/>
      <c r="H60" s="27" t="s">
        <v>89</v>
      </c>
      <c r="I60" s="52">
        <f>I54/J54</f>
        <v>261.35576801589542</v>
      </c>
      <c r="J60" s="10">
        <f>I60/$I$63</f>
        <v>1.5715346783379582E-2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3">
      <c r="A61" s="2"/>
      <c r="B61" s="2"/>
      <c r="C61" s="2"/>
      <c r="D61" s="2"/>
      <c r="E61" s="2"/>
      <c r="F61" s="2"/>
      <c r="G61" s="2"/>
      <c r="H61" s="27" t="s">
        <v>90</v>
      </c>
      <c r="I61" s="52">
        <f>I55/J55</f>
        <v>1130.5596749301644</v>
      </c>
      <c r="J61" s="10">
        <f t="shared" ref="J61:J62" si="3">I61/$I$63</f>
        <v>6.798065902931151E-2</v>
      </c>
      <c r="K61" s="2"/>
      <c r="L61" s="2"/>
      <c r="M61" s="2"/>
      <c r="N61" s="2"/>
      <c r="O61" s="2"/>
      <c r="P61" s="2"/>
      <c r="Q61" s="2"/>
    </row>
    <row r="62" spans="1:25" x14ac:dyDescent="0.3">
      <c r="A62" s="2"/>
      <c r="B62" s="2"/>
      <c r="C62" s="2"/>
      <c r="D62" s="2"/>
      <c r="E62" s="2"/>
      <c r="F62" s="2"/>
      <c r="G62" s="2"/>
      <c r="H62" s="27" t="s">
        <v>91</v>
      </c>
      <c r="I62" s="52">
        <f t="shared" ref="I62" si="4">I56/J56</f>
        <v>15238.69230745389</v>
      </c>
      <c r="J62" s="10">
        <f t="shared" si="3"/>
        <v>0.91630399418730879</v>
      </c>
      <c r="K62" s="2"/>
      <c r="L62" s="2"/>
      <c r="M62" s="2"/>
      <c r="N62" s="2"/>
      <c r="O62" s="2"/>
      <c r="P62" s="2"/>
      <c r="Q62" s="2"/>
    </row>
    <row r="63" spans="1:25" x14ac:dyDescent="0.3">
      <c r="A63" s="2"/>
      <c r="B63" s="2"/>
      <c r="C63" s="2"/>
      <c r="D63" s="2"/>
      <c r="E63" s="2"/>
      <c r="F63" s="2"/>
      <c r="G63" s="2"/>
      <c r="H63" s="49" t="s">
        <v>78</v>
      </c>
      <c r="I63" s="53">
        <f>SUM(I59:I62)</f>
        <v>16630.607750399951</v>
      </c>
      <c r="J63" s="122">
        <f>SUM(J59:J62)</f>
        <v>0.99999999999999989</v>
      </c>
      <c r="K63" s="2"/>
      <c r="L63" s="2"/>
      <c r="M63" s="2"/>
      <c r="N63" s="2"/>
      <c r="O63" s="2"/>
      <c r="P63" s="2"/>
      <c r="Q63" s="2"/>
    </row>
    <row r="64" spans="1:2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</row>
    <row r="65" spans="1:25" x14ac:dyDescent="0.3">
      <c r="A65" s="2"/>
      <c r="B65" s="2"/>
      <c r="C65" s="55" t="s">
        <v>53</v>
      </c>
      <c r="D65" s="54"/>
      <c r="E65" s="54"/>
      <c r="F65" s="57"/>
      <c r="G65" s="2"/>
      <c r="H65" s="75" t="s">
        <v>57</v>
      </c>
      <c r="I65" s="76" t="s">
        <v>82</v>
      </c>
      <c r="J65" s="76" t="s">
        <v>83</v>
      </c>
      <c r="K65" s="76" t="s">
        <v>85</v>
      </c>
      <c r="L65" s="83" t="s">
        <v>92</v>
      </c>
      <c r="M65" s="2"/>
      <c r="N65" s="2"/>
      <c r="O65" s="2"/>
      <c r="P65" s="2"/>
      <c r="Q65" s="2"/>
    </row>
    <row r="66" spans="1:25" x14ac:dyDescent="0.3">
      <c r="A66" s="2"/>
      <c r="B66" s="2"/>
      <c r="C66" s="27" t="str">
        <f>C46</f>
        <v>MER zeolite membrane</v>
      </c>
      <c r="D66" s="2"/>
      <c r="E66" s="52">
        <f>E46/100*$E$39</f>
        <v>1523.6380457352805</v>
      </c>
      <c r="F66" s="10" t="s">
        <v>32</v>
      </c>
      <c r="G66" s="2"/>
      <c r="H66" s="77">
        <f>E66/1000*$I$46/100/$J$53*$I$38</f>
        <v>0</v>
      </c>
      <c r="I66" s="78">
        <f>E66/1000*$I$47/100/$J$54*$I$39</f>
        <v>18.249929660552503</v>
      </c>
      <c r="J66" s="78">
        <f>E66/1000*$I$48/100/$J$55*$I$40</f>
        <v>302.65878411891651</v>
      </c>
      <c r="K66" s="78">
        <f>E66/1000*$I$49/100/$J$56*$I$41</f>
        <v>2481.8514512965548</v>
      </c>
      <c r="L66" s="84">
        <f>SUM(H66:K66)</f>
        <v>2802.7601650760239</v>
      </c>
      <c r="M66" s="2"/>
      <c r="N66" s="2"/>
      <c r="O66" s="2"/>
      <c r="P66" s="2"/>
      <c r="Q66" s="2"/>
    </row>
    <row r="67" spans="1:25" x14ac:dyDescent="0.3">
      <c r="A67" s="2"/>
      <c r="B67" s="2"/>
      <c r="C67" s="27" t="str">
        <f>C47</f>
        <v>MER zeolite membrane *</v>
      </c>
      <c r="D67" s="2"/>
      <c r="E67" s="52">
        <f>E47/100*$E$39</f>
        <v>3047.2760914705609</v>
      </c>
      <c r="F67" s="10" t="s">
        <v>32</v>
      </c>
      <c r="G67" s="2"/>
      <c r="H67" s="77">
        <f t="shared" ref="H67:H68" si="5">E67/1000*$I$46/100/$J$53*$I$38</f>
        <v>0</v>
      </c>
      <c r="I67" s="78">
        <f t="shared" ref="I67:I69" si="6">E67/1000*$I$47/100/$J$54*$I$39</f>
        <v>36.499859321105006</v>
      </c>
      <c r="J67" s="78">
        <f t="shared" ref="J67:J69" si="7">E67/1000*$I$48/100/$J$55*$I$40</f>
        <v>605.31756823783303</v>
      </c>
      <c r="K67" s="78">
        <f t="shared" ref="K67:K68" si="8">E67/1000*$I$49/100/$J$56*$I$41</f>
        <v>4963.7029025931097</v>
      </c>
      <c r="L67" s="84">
        <f t="shared" ref="L67:L68" si="9">SUM(H67:K67)</f>
        <v>5605.5203301520478</v>
      </c>
      <c r="M67" s="2"/>
      <c r="N67" s="2"/>
      <c r="O67" s="2"/>
      <c r="P67" s="2"/>
      <c r="Q67" s="2"/>
    </row>
    <row r="68" spans="1:25" x14ac:dyDescent="0.3">
      <c r="A68" s="2"/>
      <c r="B68" s="2"/>
      <c r="C68" s="27" t="str">
        <f>C48</f>
        <v>Zhong et al. (liuotus ja kuivatus)</v>
      </c>
      <c r="D68" s="2"/>
      <c r="E68" s="52">
        <f>E48/100*$E$39</f>
        <v>4097.0998668857246</v>
      </c>
      <c r="F68" s="10" t="s">
        <v>32</v>
      </c>
      <c r="G68" s="2"/>
      <c r="H68" s="77">
        <f t="shared" si="5"/>
        <v>0</v>
      </c>
      <c r="I68" s="78">
        <f t="shared" si="6"/>
        <v>49.074505977461321</v>
      </c>
      <c r="J68" s="78">
        <f t="shared" si="7"/>
        <v>813.85685241733051</v>
      </c>
      <c r="K68" s="78">
        <f t="shared" si="8"/>
        <v>6673.7590854986647</v>
      </c>
      <c r="L68" s="84">
        <f t="shared" si="9"/>
        <v>7536.6904438934562</v>
      </c>
      <c r="M68" s="2"/>
      <c r="N68" s="2"/>
      <c r="O68" s="2"/>
      <c r="P68" s="2"/>
      <c r="Q68" s="2"/>
    </row>
    <row r="69" spans="1:25" x14ac:dyDescent="0.3">
      <c r="A69" s="2"/>
      <c r="B69" s="2"/>
      <c r="C69" s="49" t="str">
        <f>C49</f>
        <v>Pan et al. (liuotus, uutto, elektrolyysi)</v>
      </c>
      <c r="D69" s="18"/>
      <c r="E69" s="53">
        <f>E49/100*$E$39</f>
        <v>4430.1634274931012</v>
      </c>
      <c r="F69" s="19" t="s">
        <v>32</v>
      </c>
      <c r="G69" s="2"/>
      <c r="H69" s="79">
        <f>E69/1000*$I$46/100/$J$53*$I$38</f>
        <v>0</v>
      </c>
      <c r="I69" s="80">
        <f t="shared" si="6"/>
        <v>53.063896089234525</v>
      </c>
      <c r="J69" s="80">
        <f t="shared" si="7"/>
        <v>880.01732443356912</v>
      </c>
      <c r="K69" s="80">
        <f>E69/1000*$I$49/100/$J$56*$I$41</f>
        <v>7216.2857594558664</v>
      </c>
      <c r="L69" s="85">
        <f>SUM(H69:K69)</f>
        <v>8149.3669799786703</v>
      </c>
      <c r="M69" s="2"/>
      <c r="N69" s="2"/>
      <c r="O69" s="2"/>
      <c r="P69" s="2"/>
      <c r="Q69" s="2"/>
    </row>
    <row r="70" spans="1:25" x14ac:dyDescent="0.3">
      <c r="A70" s="2"/>
      <c r="B70" s="2"/>
      <c r="C70" s="2"/>
      <c r="D70" s="2"/>
      <c r="E70" s="2"/>
      <c r="F70" s="2"/>
      <c r="G70" s="2"/>
      <c r="H70" s="47"/>
      <c r="I70" s="47"/>
      <c r="J70" s="47"/>
      <c r="K70" s="47"/>
      <c r="L70" s="86"/>
      <c r="M70" s="2"/>
      <c r="N70" s="2"/>
      <c r="O70" s="2"/>
      <c r="P70" s="2"/>
      <c r="Q70" s="2"/>
    </row>
    <row r="71" spans="1:25" x14ac:dyDescent="0.3">
      <c r="A71" s="2"/>
      <c r="B71" s="2"/>
      <c r="C71" s="55" t="s">
        <v>54</v>
      </c>
      <c r="D71" s="54"/>
      <c r="E71" s="54"/>
      <c r="F71" s="57"/>
      <c r="G71" s="2"/>
      <c r="H71" s="81" t="s">
        <v>57</v>
      </c>
      <c r="I71" s="82" t="s">
        <v>82</v>
      </c>
      <c r="J71" s="76" t="s">
        <v>83</v>
      </c>
      <c r="K71" s="76" t="s">
        <v>85</v>
      </c>
      <c r="L71" s="83" t="s">
        <v>92</v>
      </c>
      <c r="M71" s="2"/>
      <c r="N71" s="2"/>
      <c r="O71" s="2"/>
      <c r="P71" s="2"/>
      <c r="Q71" s="2"/>
    </row>
    <row r="72" spans="1:25" x14ac:dyDescent="0.3">
      <c r="A72" s="2"/>
      <c r="B72" s="2"/>
      <c r="C72" s="27" t="str">
        <f>C46</f>
        <v>MER zeolite membrane</v>
      </c>
      <c r="D72" s="2"/>
      <c r="E72" s="52">
        <f>E46/100*$E$40</f>
        <v>1773.4147745443427</v>
      </c>
      <c r="F72" s="10" t="s">
        <v>32</v>
      </c>
      <c r="G72" s="2"/>
      <c r="H72" s="77">
        <f>E72/1000*$I$46/100/$J$53*$I$38</f>
        <v>0</v>
      </c>
      <c r="I72" s="78">
        <f>E72/1000*$I$47/100/$J$54*$I$39</f>
        <v>21.241721408184059</v>
      </c>
      <c r="J72" s="78">
        <f>E72/1000*$I$48/100/$J$55*$I$40</f>
        <v>352.27497823677163</v>
      </c>
      <c r="K72" s="78">
        <f>E72/1000*$I$49/100/$J$56*$I$41</f>
        <v>2888.7123449517271</v>
      </c>
      <c r="L72" s="84">
        <f>SUM(H72:K72)</f>
        <v>3262.2290445966828</v>
      </c>
      <c r="M72" s="2"/>
      <c r="N72" s="2"/>
      <c r="O72" s="2"/>
      <c r="P72" s="2"/>
      <c r="Q72" s="2"/>
    </row>
    <row r="73" spans="1:25" x14ac:dyDescent="0.3">
      <c r="A73" s="2"/>
      <c r="B73" s="2"/>
      <c r="C73" s="27" t="str">
        <f>C47</f>
        <v>MER zeolite membrane *</v>
      </c>
      <c r="D73" s="2"/>
      <c r="E73" s="52">
        <f>E47/100*$E$40</f>
        <v>3546.8295490886853</v>
      </c>
      <c r="F73" s="10" t="s">
        <v>32</v>
      </c>
      <c r="G73" s="2"/>
      <c r="H73" s="77">
        <f t="shared" ref="H73:H74" si="10">E73/1000*$I$46/100/$J$53*$I$38</f>
        <v>0</v>
      </c>
      <c r="I73" s="78">
        <f t="shared" ref="I73:I74" si="11">E73/1000*$I$47/100/$J$54*$I$39</f>
        <v>42.483442816368118</v>
      </c>
      <c r="J73" s="78">
        <f t="shared" ref="J73:J74" si="12">E73/1000*$I$48/100/$J$55*$I$40</f>
        <v>704.54995647354326</v>
      </c>
      <c r="K73" s="78">
        <f t="shared" ref="K73:K74" si="13">E73/1000*$I$49/100/$J$56*$I$41</f>
        <v>5777.4246899034542</v>
      </c>
      <c r="L73" s="84">
        <f t="shared" ref="L73:L75" si="14">SUM(H73:K73)</f>
        <v>6524.4580891933656</v>
      </c>
      <c r="M73" s="2"/>
      <c r="N73" s="2"/>
      <c r="O73" s="2"/>
      <c r="P73" s="2"/>
      <c r="Q73" s="2"/>
    </row>
    <row r="74" spans="1:25" x14ac:dyDescent="0.3">
      <c r="A74" s="2"/>
      <c r="B74" s="2"/>
      <c r="C74" s="27" t="str">
        <f>C48</f>
        <v>Zhong et al. (liuotus ja kuivatus)</v>
      </c>
      <c r="D74" s="2"/>
      <c r="E74" s="52">
        <f>E48/100*$E$40</f>
        <v>4768.7555827686292</v>
      </c>
      <c r="F74" s="10" t="s">
        <v>32</v>
      </c>
      <c r="G74" s="2"/>
      <c r="H74" s="77">
        <f t="shared" si="10"/>
        <v>0</v>
      </c>
      <c r="I74" s="78">
        <f t="shared" si="11"/>
        <v>57.119506957372998</v>
      </c>
      <c r="J74" s="78">
        <f t="shared" si="12"/>
        <v>947.27600855131891</v>
      </c>
      <c r="K74" s="78">
        <f t="shared" si="13"/>
        <v>7767.8179519738533</v>
      </c>
      <c r="L74" s="84">
        <f t="shared" si="14"/>
        <v>8772.2134674825447</v>
      </c>
      <c r="M74" s="2"/>
      <c r="N74" s="2"/>
      <c r="O74" s="2"/>
      <c r="P74" s="2"/>
      <c r="Q74" s="2"/>
    </row>
    <row r="75" spans="1:25" x14ac:dyDescent="0.3">
      <c r="A75" s="2"/>
      <c r="B75" s="2"/>
      <c r="C75" s="49" t="str">
        <f>C49</f>
        <v>Pan et al. (liuotus, uutto, elektrolyysi)</v>
      </c>
      <c r="D75" s="18"/>
      <c r="E75" s="53">
        <f>E49/100*$E$40</f>
        <v>5156.4197270821342</v>
      </c>
      <c r="F75" s="19" t="s">
        <v>32</v>
      </c>
      <c r="G75" s="2"/>
      <c r="H75" s="79">
        <f>E75/1000*$I$46/100/$J$53*$I$38</f>
        <v>0</v>
      </c>
      <c r="I75" s="80">
        <f>E75/1000*$I$47/100/$J$54*$I$39</f>
        <v>61.762895448125448</v>
      </c>
      <c r="J75" s="80">
        <f>E75/1000*$I$48/100/$J$55*$I$40</f>
        <v>1024.2824595866134</v>
      </c>
      <c r="K75" s="80">
        <f>E75/1000*$I$49/100/$J$56*$I$41</f>
        <v>8399.2834249404368</v>
      </c>
      <c r="L75" s="85">
        <f t="shared" si="14"/>
        <v>9485.3287799751761</v>
      </c>
      <c r="M75" s="2"/>
      <c r="N75" s="2"/>
      <c r="O75" s="2"/>
      <c r="P75" s="2"/>
      <c r="Q75" s="2"/>
    </row>
    <row r="76" spans="1:25" x14ac:dyDescent="0.3">
      <c r="A76" s="2"/>
      <c r="B76" s="2"/>
      <c r="C76" s="2"/>
      <c r="D76" s="2"/>
      <c r="E76" s="2"/>
      <c r="F76" s="2"/>
      <c r="G76" s="2"/>
      <c r="H76" s="47"/>
      <c r="I76" s="47"/>
      <c r="J76" s="47"/>
      <c r="K76" s="47"/>
      <c r="L76" s="86"/>
      <c r="M76" s="2"/>
      <c r="N76" s="2"/>
      <c r="O76" s="2"/>
      <c r="P76" s="2"/>
      <c r="Q76" s="2"/>
    </row>
    <row r="77" spans="1:25" x14ac:dyDescent="0.3">
      <c r="A77" s="2"/>
      <c r="B77" s="2"/>
      <c r="C77" s="55" t="s">
        <v>55</v>
      </c>
      <c r="D77" s="54"/>
      <c r="E77" s="54"/>
      <c r="F77" s="57"/>
      <c r="G77" s="2"/>
      <c r="H77" s="81" t="s">
        <v>57</v>
      </c>
      <c r="I77" s="76" t="s">
        <v>82</v>
      </c>
      <c r="J77" s="76" t="s">
        <v>83</v>
      </c>
      <c r="K77" s="76" t="s">
        <v>85</v>
      </c>
      <c r="L77" s="83" t="s">
        <v>92</v>
      </c>
      <c r="M77" s="2"/>
      <c r="N77" s="2"/>
      <c r="O77" s="2"/>
      <c r="P77" s="2"/>
      <c r="Q77" s="2"/>
    </row>
    <row r="78" spans="1:25" x14ac:dyDescent="0.3">
      <c r="A78" s="2"/>
      <c r="B78" s="2"/>
      <c r="C78" s="27" t="str">
        <f>C46</f>
        <v>MER zeolite membrane</v>
      </c>
      <c r="D78" s="2"/>
      <c r="E78" s="52">
        <f>E46/100*$E$41</f>
        <v>2223.0128864006551</v>
      </c>
      <c r="F78" s="10" t="s">
        <v>32</v>
      </c>
      <c r="G78" s="2"/>
      <c r="H78" s="77">
        <f>E78/1000*$I$46/100/$J$53*$I$38</f>
        <v>0</v>
      </c>
      <c r="I78" s="78">
        <f>E78/1000*$I$47/100/$J$54*$I$39</f>
        <v>26.626946553920867</v>
      </c>
      <c r="J78" s="78">
        <f>E78/1000*$I$48/100/$J$55*$I$40</f>
        <v>441.58412764891102</v>
      </c>
      <c r="K78" s="78">
        <f>E78/1000*$I$49/100/$J$56*$I$41</f>
        <v>3621.0619535310393</v>
      </c>
      <c r="L78" s="84">
        <f>SUM(H78:K78)</f>
        <v>4089.273027733871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x14ac:dyDescent="0.3">
      <c r="A79" s="2"/>
      <c r="B79" s="2"/>
      <c r="C79" s="27" t="str">
        <f>C47</f>
        <v>MER zeolite membrane *</v>
      </c>
      <c r="D79" s="2"/>
      <c r="E79" s="52">
        <f>E47/100*$E$41</f>
        <v>4446.0257728013103</v>
      </c>
      <c r="F79" s="10" t="s">
        <v>32</v>
      </c>
      <c r="G79" s="2"/>
      <c r="H79" s="77">
        <f t="shared" ref="H79:H81" si="15">E79/1000*$I$46/100/$J$53*$I$38</f>
        <v>0</v>
      </c>
      <c r="I79" s="78">
        <f t="shared" ref="I79:I81" si="16">E79/1000*$I$47/100/$J$54*$I$39</f>
        <v>53.253893107841733</v>
      </c>
      <c r="J79" s="78">
        <f t="shared" ref="J79:J81" si="17">E79/1000*$I$48/100/$J$55*$I$40</f>
        <v>883.16825529782204</v>
      </c>
      <c r="K79" s="78">
        <f t="shared" ref="K79:K81" si="18">E79/1000*$I$49/100/$J$56*$I$41</f>
        <v>7242.1239070620786</v>
      </c>
      <c r="L79" s="84">
        <f t="shared" ref="L79:L80" si="19">SUM(H79:K79)</f>
        <v>8178.546055467742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x14ac:dyDescent="0.3">
      <c r="A80" s="2"/>
      <c r="B80" s="2"/>
      <c r="C80" s="27" t="str">
        <f>C48</f>
        <v>Zhong et al. (liuotus ja kuivatus)</v>
      </c>
      <c r="D80" s="2"/>
      <c r="E80" s="52">
        <f>E48/100*$E$41</f>
        <v>5977.7358713578597</v>
      </c>
      <c r="F80" s="10" t="s">
        <v>32</v>
      </c>
      <c r="G80" s="2"/>
      <c r="H80" s="77">
        <f t="shared" si="15"/>
        <v>0</v>
      </c>
      <c r="I80" s="78">
        <f t="shared" si="16"/>
        <v>71.600508721214055</v>
      </c>
      <c r="J80" s="78">
        <f t="shared" si="17"/>
        <v>1187.4304895924986</v>
      </c>
      <c r="K80" s="78">
        <f t="shared" si="18"/>
        <v>9737.1239116291963</v>
      </c>
      <c r="L80" s="84">
        <f t="shared" si="19"/>
        <v>10996.154909942908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x14ac:dyDescent="0.3">
      <c r="B81" s="2"/>
      <c r="C81" s="49" t="str">
        <f>C49</f>
        <v>Pan et al. (liuotus, uutto, elektrolyysi)</v>
      </c>
      <c r="D81" s="18"/>
      <c r="E81" s="53">
        <f>E49/100*$E$41</f>
        <v>6463.681066342393</v>
      </c>
      <c r="F81" s="19" t="s">
        <v>32</v>
      </c>
      <c r="G81" s="2"/>
      <c r="H81" s="79">
        <f t="shared" si="15"/>
        <v>0</v>
      </c>
      <c r="I81" s="80">
        <f t="shared" si="16"/>
        <v>77.421094294129063</v>
      </c>
      <c r="J81" s="80">
        <f t="shared" si="17"/>
        <v>1283.9597028620929</v>
      </c>
      <c r="K81" s="80">
        <f t="shared" si="18"/>
        <v>10528.679222812656</v>
      </c>
      <c r="L81" s="85">
        <f>SUM(H81:K81)</f>
        <v>11890.060019968878</v>
      </c>
    </row>
    <row r="82" spans="1:25" x14ac:dyDescent="0.3">
      <c r="B82" s="2"/>
      <c r="C82" s="2"/>
      <c r="D82" s="2"/>
      <c r="E82" s="2"/>
      <c r="F82" s="2"/>
      <c r="G82" s="2"/>
      <c r="H82" s="47"/>
      <c r="I82" s="47"/>
      <c r="J82" s="47"/>
      <c r="K82" s="47"/>
      <c r="L82" s="86"/>
    </row>
    <row r="83" spans="1:25" x14ac:dyDescent="0.3">
      <c r="B83" s="2"/>
      <c r="C83" s="55" t="s">
        <v>58</v>
      </c>
      <c r="D83" s="54"/>
      <c r="E83" s="54"/>
      <c r="F83" s="57"/>
      <c r="G83" s="2"/>
      <c r="H83" s="81" t="s">
        <v>57</v>
      </c>
      <c r="I83" s="76" t="s">
        <v>82</v>
      </c>
      <c r="J83" s="76" t="s">
        <v>83</v>
      </c>
      <c r="K83" s="76" t="s">
        <v>85</v>
      </c>
      <c r="L83" s="83" t="s">
        <v>92</v>
      </c>
    </row>
    <row r="84" spans="1:25" x14ac:dyDescent="0.3">
      <c r="B84" s="2"/>
      <c r="C84" s="27" t="str">
        <f>C46</f>
        <v>MER zeolite membrane</v>
      </c>
      <c r="D84" s="2"/>
      <c r="E84" s="52">
        <f>E46/100*$E$42</f>
        <v>1873.3254660679677</v>
      </c>
      <c r="F84" s="10" t="s">
        <v>32</v>
      </c>
      <c r="G84" s="2"/>
      <c r="H84" s="77">
        <f>E84/1000*$I$46/100/$J$53*$I$38</f>
        <v>0</v>
      </c>
      <c r="I84" s="78">
        <f>E84/1000*$I$47/100/$J$54*$I$39</f>
        <v>22.438438107236681</v>
      </c>
      <c r="J84" s="78">
        <f>E84/1000*$I$48/100/$J$55*$I$40</f>
        <v>372.12145588391371</v>
      </c>
      <c r="K84" s="78">
        <f>E84/1000*$I$49/100/$J$56*$I$41</f>
        <v>3051.4567024137964</v>
      </c>
      <c r="L84" s="84">
        <f>SUM(H84:K84)</f>
        <v>3446.0165964049465</v>
      </c>
    </row>
    <row r="85" spans="1:25" x14ac:dyDescent="0.3">
      <c r="B85" s="2"/>
      <c r="C85" s="27" t="str">
        <f>C47</f>
        <v>MER zeolite membrane *</v>
      </c>
      <c r="D85" s="2"/>
      <c r="E85" s="52">
        <f>E47/100*$E$42</f>
        <v>3746.6509321359354</v>
      </c>
      <c r="F85" s="10" t="s">
        <v>32</v>
      </c>
      <c r="G85" s="2"/>
      <c r="H85" s="77">
        <f t="shared" ref="H85:H87" si="20">E85/1000*$I$46/100/$J$53*$I$38</f>
        <v>0</v>
      </c>
      <c r="I85" s="78">
        <f t="shared" ref="I85:I87" si="21">E85/1000*$I$47/100/$J$54*$I$39</f>
        <v>44.876876214473363</v>
      </c>
      <c r="J85" s="78">
        <f t="shared" ref="J85:J87" si="22">E85/1000*$I$48/100/$J$55*$I$40</f>
        <v>744.24291176782742</v>
      </c>
      <c r="K85" s="78">
        <f t="shared" ref="K85:K87" si="23">E85/1000*$I$49/100/$J$56*$I$41</f>
        <v>6102.9134048275928</v>
      </c>
      <c r="L85" s="84">
        <f t="shared" ref="L85:L87" si="24">SUM(H85:K85)</f>
        <v>6892.0331928098931</v>
      </c>
    </row>
    <row r="86" spans="1:25" x14ac:dyDescent="0.3">
      <c r="B86" s="2"/>
      <c r="C86" s="27" t="str">
        <f>C48</f>
        <v>Zhong et al. (liuotus ja kuivatus)</v>
      </c>
      <c r="D86" s="2"/>
      <c r="E86" s="52">
        <f>E48/100*$E$42</f>
        <v>5037.4178691217921</v>
      </c>
      <c r="F86" s="10" t="s">
        <v>32</v>
      </c>
      <c r="G86" s="2"/>
      <c r="H86" s="77">
        <f t="shared" si="20"/>
        <v>0</v>
      </c>
      <c r="I86" s="78">
        <f t="shared" si="21"/>
        <v>60.337507349337685</v>
      </c>
      <c r="J86" s="78">
        <f t="shared" si="22"/>
        <v>1000.6436710049145</v>
      </c>
      <c r="K86" s="78">
        <f t="shared" si="23"/>
        <v>8205.4414985639305</v>
      </c>
      <c r="L86" s="84">
        <f t="shared" si="24"/>
        <v>9266.4226769181823</v>
      </c>
    </row>
    <row r="87" spans="1:25" x14ac:dyDescent="0.3">
      <c r="B87" s="2"/>
      <c r="C87" s="49" t="str">
        <f>C49</f>
        <v>Pan et al. (liuotus, uutto, elektrolyysi)</v>
      </c>
      <c r="D87" s="18"/>
      <c r="E87" s="53">
        <f>E49/100*$E$42</f>
        <v>5446.9222469177466</v>
      </c>
      <c r="F87" s="19" t="s">
        <v>32</v>
      </c>
      <c r="G87" s="2"/>
      <c r="H87" s="79">
        <f t="shared" si="20"/>
        <v>0</v>
      </c>
      <c r="I87" s="80">
        <f t="shared" si="21"/>
        <v>65.242495191681783</v>
      </c>
      <c r="J87" s="80">
        <f t="shared" si="22"/>
        <v>1081.988513647831</v>
      </c>
      <c r="K87" s="80">
        <f t="shared" si="23"/>
        <v>8872.4824911342621</v>
      </c>
      <c r="L87" s="85">
        <f t="shared" si="24"/>
        <v>10019.713499973775</v>
      </c>
    </row>
    <row r="88" spans="1:25" x14ac:dyDescent="0.3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25" x14ac:dyDescent="0.3">
      <c r="B89" s="2"/>
      <c r="C89" s="55" t="s">
        <v>110</v>
      </c>
      <c r="D89" s="54"/>
      <c r="E89" s="54"/>
      <c r="F89" s="57"/>
      <c r="G89" s="2"/>
      <c r="H89" s="81" t="s">
        <v>57</v>
      </c>
      <c r="I89" s="76" t="s">
        <v>82</v>
      </c>
      <c r="J89" s="76" t="s">
        <v>83</v>
      </c>
      <c r="K89" s="76" t="s">
        <v>85</v>
      </c>
      <c r="L89" s="83" t="s">
        <v>92</v>
      </c>
    </row>
    <row r="90" spans="1:25" x14ac:dyDescent="0.3">
      <c r="B90" s="2"/>
      <c r="C90" s="27" t="str">
        <f>C66</f>
        <v>MER zeolite membrane</v>
      </c>
      <c r="D90" s="2"/>
      <c r="E90" s="52">
        <f>E46/100*$E$43</f>
        <v>2048.1691762343112</v>
      </c>
      <c r="F90" s="10" t="s">
        <v>32</v>
      </c>
      <c r="G90" s="2"/>
      <c r="H90" s="77">
        <f>E90/1000*$I$46/100/$J$53*$I$38</f>
        <v>0</v>
      </c>
      <c r="I90" s="78">
        <f>E90/1000*$I$47/100/$J$54*$I$39</f>
        <v>24.532692330578776</v>
      </c>
      <c r="J90" s="78">
        <f>E90/1000*$I$48/100/$J$55*$I$40</f>
        <v>406.85279176641234</v>
      </c>
      <c r="K90" s="78">
        <f>E90/1000*$I$49/100/$J$56*$I$41</f>
        <v>3336.2593279724179</v>
      </c>
      <c r="L90" s="84">
        <f>SUM(H90:K90)</f>
        <v>3767.644812069409</v>
      </c>
    </row>
    <row r="91" spans="1:25" x14ac:dyDescent="0.3">
      <c r="B91" s="2"/>
      <c r="C91" s="27" t="str">
        <f>C67</f>
        <v>MER zeolite membrane *</v>
      </c>
      <c r="D91" s="2"/>
      <c r="E91" s="52">
        <f>E47/100*$E$43</f>
        <v>4096.3383524686224</v>
      </c>
      <c r="F91" s="10" t="s">
        <v>32</v>
      </c>
      <c r="G91" s="2"/>
      <c r="H91" s="77">
        <f t="shared" ref="H91:H92" si="25">E91/1000*$I$46/100/$J$53*$I$38</f>
        <v>0</v>
      </c>
      <c r="I91" s="78">
        <f t="shared" ref="I91:I93" si="26">E91/1000*$I$47/100/$J$54*$I$39</f>
        <v>49.065384661157552</v>
      </c>
      <c r="J91" s="78">
        <f t="shared" ref="J91:J93" si="27">E91/1000*$I$48/100/$J$55*$I$40</f>
        <v>813.70558353282468</v>
      </c>
      <c r="K91" s="78">
        <f t="shared" ref="K91:K93" si="28">E91/1000*$I$49/100/$J$56*$I$41</f>
        <v>6672.5186559448357</v>
      </c>
      <c r="L91" s="84">
        <f t="shared" ref="L91:L92" si="29">SUM(H91:K91)</f>
        <v>7535.289624138818</v>
      </c>
    </row>
    <row r="92" spans="1:25" x14ac:dyDescent="0.3">
      <c r="B92" s="2"/>
      <c r="C92" s="27" t="str">
        <f>C68</f>
        <v>Zhong et al. (liuotus ja kuivatus)</v>
      </c>
      <c r="D92" s="2"/>
      <c r="E92" s="52">
        <f>E48/100*$E$43</f>
        <v>5507.5768702398254</v>
      </c>
      <c r="F92" s="10" t="s">
        <v>32</v>
      </c>
      <c r="G92" s="2"/>
      <c r="H92" s="77">
        <f t="shared" si="25"/>
        <v>0</v>
      </c>
      <c r="I92" s="78">
        <f t="shared" si="26"/>
        <v>65.969008035275849</v>
      </c>
      <c r="J92" s="78">
        <f t="shared" si="27"/>
        <v>1094.0370802987063</v>
      </c>
      <c r="K92" s="78">
        <f t="shared" si="28"/>
        <v>8971.2827050965625</v>
      </c>
      <c r="L92" s="84">
        <f t="shared" si="29"/>
        <v>10131.288793430545</v>
      </c>
    </row>
    <row r="93" spans="1:25" x14ac:dyDescent="0.3">
      <c r="B93" s="2"/>
      <c r="C93" s="49" t="str">
        <f>C69</f>
        <v>Pan et al. (liuotus, uutto, elektrolyysi)</v>
      </c>
      <c r="D93" s="18"/>
      <c r="E93" s="53">
        <f>E49/100*$E$43</f>
        <v>5955.3016566300694</v>
      </c>
      <c r="F93" s="19" t="s">
        <v>32</v>
      </c>
      <c r="G93" s="2"/>
      <c r="H93" s="79">
        <f>E93/1000*$I$46/100/$J$53*$I$38</f>
        <v>0</v>
      </c>
      <c r="I93" s="80">
        <f t="shared" si="26"/>
        <v>71.331794742905416</v>
      </c>
      <c r="J93" s="80">
        <f t="shared" si="27"/>
        <v>1182.9741082549617</v>
      </c>
      <c r="K93" s="80">
        <f t="shared" si="28"/>
        <v>9700.5808569734581</v>
      </c>
      <c r="L93" s="85">
        <f>SUM(H93:K93)</f>
        <v>10954.886759971325</v>
      </c>
    </row>
    <row r="94" spans="1:25" x14ac:dyDescent="0.3">
      <c r="B94" s="2"/>
    </row>
    <row r="95" spans="1:25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x14ac:dyDescent="0.3">
      <c r="A97" s="59"/>
      <c r="B97" s="59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2"/>
      <c r="T97" s="2"/>
      <c r="U97" s="2"/>
      <c r="V97" s="2"/>
      <c r="W97" s="2"/>
      <c r="X97" s="2"/>
      <c r="Y97" s="2"/>
    </row>
    <row r="98" spans="1:25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8" x14ac:dyDescent="0.4">
      <c r="A99" s="2"/>
      <c r="C99" s="88" t="s">
        <v>124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x14ac:dyDescent="0.3">
      <c r="A100" s="2"/>
      <c r="B100" s="2"/>
      <c r="C100" s="2" t="s">
        <v>62</v>
      </c>
      <c r="D100" s="2"/>
      <c r="E100" s="2"/>
      <c r="F100" s="2"/>
      <c r="G100" s="2"/>
      <c r="H100" s="2"/>
      <c r="I100" s="2"/>
      <c r="J100" s="2"/>
      <c r="K100" s="2"/>
      <c r="L100" s="2" t="s">
        <v>75</v>
      </c>
      <c r="M100" s="2">
        <v>7.0000000000000007E-2</v>
      </c>
      <c r="N100" s="2" t="s">
        <v>1</v>
      </c>
      <c r="O100" s="2"/>
      <c r="P100" s="2"/>
      <c r="Q100" s="2"/>
      <c r="R100" s="2"/>
      <c r="S100" s="2"/>
      <c r="T100" s="2" t="s">
        <v>96</v>
      </c>
      <c r="U100" s="2"/>
      <c r="V100" s="2">
        <v>40</v>
      </c>
      <c r="W100" s="2" t="s">
        <v>49</v>
      </c>
      <c r="X100" s="2" t="s">
        <v>98</v>
      </c>
      <c r="Y100" s="2"/>
    </row>
    <row r="101" spans="1:25" x14ac:dyDescent="0.3">
      <c r="A101" s="2"/>
      <c r="B101" s="2"/>
      <c r="C101" s="2" t="s">
        <v>63</v>
      </c>
      <c r="D101" s="2"/>
      <c r="E101" s="2"/>
      <c r="F101" s="2"/>
      <c r="G101" s="2"/>
      <c r="H101" s="2"/>
      <c r="I101" s="2"/>
      <c r="J101" s="2"/>
      <c r="K101" s="2"/>
      <c r="L101" s="2" t="s">
        <v>76</v>
      </c>
      <c r="M101" s="2">
        <v>8</v>
      </c>
      <c r="N101" s="2" t="s">
        <v>77</v>
      </c>
      <c r="O101" s="2"/>
      <c r="P101" s="2"/>
      <c r="Q101" s="2"/>
      <c r="R101" s="2"/>
      <c r="S101" s="2"/>
      <c r="T101" s="2"/>
      <c r="U101" s="2"/>
      <c r="V101" s="2">
        <v>1100</v>
      </c>
      <c r="W101" s="2" t="s">
        <v>97</v>
      </c>
      <c r="X101" s="2"/>
      <c r="Y101" s="2"/>
    </row>
    <row r="102" spans="1:25" x14ac:dyDescent="0.3">
      <c r="A102" s="2"/>
      <c r="B102" s="2"/>
      <c r="G102" s="2"/>
      <c r="H102" s="2"/>
      <c r="I102" s="2"/>
      <c r="J102" s="2"/>
      <c r="K102" s="2"/>
      <c r="L102" s="2" t="s">
        <v>73</v>
      </c>
      <c r="M102" s="2">
        <v>5500000</v>
      </c>
      <c r="N102" s="2" t="s">
        <v>46</v>
      </c>
      <c r="O102" s="2"/>
      <c r="P102" s="2"/>
      <c r="Q102" s="2"/>
      <c r="R102" s="2"/>
      <c r="S102" s="2"/>
      <c r="T102" s="2"/>
      <c r="U102" s="2"/>
      <c r="V102" s="2">
        <v>6473</v>
      </c>
      <c r="W102" s="2" t="s">
        <v>46</v>
      </c>
      <c r="X102" s="2"/>
      <c r="Y102" s="2"/>
    </row>
    <row r="103" spans="1:25" x14ac:dyDescent="0.3">
      <c r="A103" s="2"/>
      <c r="B103" s="2"/>
      <c r="C103" s="2"/>
      <c r="D103" s="2">
        <v>8000</v>
      </c>
      <c r="E103" s="2" t="s">
        <v>65</v>
      </c>
      <c r="F103" s="2"/>
      <c r="G103" s="2"/>
      <c r="H103" s="2"/>
      <c r="I103" s="2"/>
      <c r="J103" s="2"/>
      <c r="K103" s="2"/>
      <c r="L103" s="2" t="s">
        <v>79</v>
      </c>
      <c r="M103" s="2">
        <f>0.0628/(1.255)*1000</f>
        <v>50.039840637450197</v>
      </c>
      <c r="N103" s="2" t="s">
        <v>81</v>
      </c>
      <c r="O103" s="2" t="s">
        <v>80</v>
      </c>
      <c r="P103" s="2"/>
      <c r="Q103" s="2"/>
      <c r="R103" s="2"/>
      <c r="S103" s="2"/>
      <c r="T103" s="2"/>
      <c r="U103" s="2"/>
      <c r="V103" s="2">
        <f>V102/V100</f>
        <v>161.82499999999999</v>
      </c>
      <c r="W103" s="2" t="s">
        <v>48</v>
      </c>
      <c r="X103" s="2"/>
      <c r="Y103" s="2"/>
    </row>
    <row r="104" spans="1:25" x14ac:dyDescent="0.3">
      <c r="A104" s="2"/>
      <c r="B104" s="2"/>
      <c r="C104" s="2" t="s">
        <v>86</v>
      </c>
      <c r="D104" s="2">
        <f>D103/24</f>
        <v>333.33333333333331</v>
      </c>
      <c r="E104" s="2" t="s">
        <v>66</v>
      </c>
      <c r="F104" s="2"/>
      <c r="G104" s="2"/>
      <c r="H104" s="2"/>
      <c r="I104" s="2"/>
      <c r="J104" s="2"/>
      <c r="K104" s="2"/>
      <c r="L104" s="2" t="s">
        <v>95</v>
      </c>
      <c r="M104" s="2">
        <f>V104*2.5</f>
        <v>36.778409090909093</v>
      </c>
      <c r="N104" s="2" t="s">
        <v>99</v>
      </c>
      <c r="O104" s="2"/>
      <c r="P104" s="2"/>
      <c r="Q104" s="2"/>
      <c r="R104" s="2"/>
      <c r="S104" s="2"/>
      <c r="T104" s="2"/>
      <c r="U104" s="2"/>
      <c r="V104" s="2">
        <f>V103/11</f>
        <v>14.711363636363636</v>
      </c>
      <c r="W104" s="2" t="s">
        <v>107</v>
      </c>
      <c r="X104" s="2"/>
      <c r="Y104" s="2"/>
    </row>
    <row r="105" spans="1:2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3">
      <c r="A107" s="2"/>
      <c r="B107" s="2"/>
      <c r="C107" s="74" t="s">
        <v>93</v>
      </c>
      <c r="D107" s="74"/>
      <c r="E107" s="74"/>
      <c r="F107" s="2"/>
      <c r="G107" s="2"/>
      <c r="H107" s="2"/>
      <c r="I107" s="2"/>
      <c r="J107" s="2"/>
      <c r="K107" s="2"/>
      <c r="L107" s="1" t="s">
        <v>101</v>
      </c>
      <c r="M107" s="2"/>
      <c r="N107" s="2"/>
      <c r="O107" s="2" t="s">
        <v>108</v>
      </c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x14ac:dyDescent="0.3">
      <c r="A108" s="2"/>
      <c r="B108" s="2"/>
      <c r="C108" s="60" t="s">
        <v>36</v>
      </c>
      <c r="D108" s="61" t="s">
        <v>67</v>
      </c>
      <c r="E108" s="5" t="s">
        <v>68</v>
      </c>
      <c r="F108" s="22"/>
      <c r="G108" s="60" t="s">
        <v>39</v>
      </c>
      <c r="H108" s="61" t="s">
        <v>67</v>
      </c>
      <c r="I108" s="5" t="s">
        <v>68</v>
      </c>
      <c r="J108" s="2"/>
      <c r="K108" s="2"/>
      <c r="L108" s="62" t="s">
        <v>69</v>
      </c>
      <c r="M108" s="63" t="s">
        <v>74</v>
      </c>
      <c r="N108" s="2"/>
      <c r="O108" s="47" t="s">
        <v>138</v>
      </c>
      <c r="P108" s="47"/>
      <c r="Q108" s="47"/>
      <c r="R108" s="2"/>
      <c r="S108" s="2"/>
      <c r="T108" s="2"/>
      <c r="U108" s="2"/>
      <c r="V108" s="2"/>
      <c r="W108" s="2"/>
      <c r="X108" s="2"/>
      <c r="Y108" s="2"/>
    </row>
    <row r="109" spans="1:25" x14ac:dyDescent="0.3">
      <c r="A109" s="2"/>
      <c r="B109" s="2"/>
      <c r="C109" s="64" t="str">
        <f>C66</f>
        <v>MER zeolite membrane</v>
      </c>
      <c r="D109" s="65">
        <f>L66</f>
        <v>2802.7601650760239</v>
      </c>
      <c r="E109" s="66">
        <f>D109*$D$104</f>
        <v>934253.38835867459</v>
      </c>
      <c r="F109" s="22"/>
      <c r="G109" s="64" t="str">
        <f>C66</f>
        <v>MER zeolite membrane</v>
      </c>
      <c r="H109" s="65">
        <f>L78</f>
        <v>4089.273027733871</v>
      </c>
      <c r="I109" s="66">
        <f>H109*$D$104</f>
        <v>1363091.0092446236</v>
      </c>
      <c r="J109" s="2"/>
      <c r="K109" s="2"/>
      <c r="L109" s="67" t="s">
        <v>70</v>
      </c>
      <c r="M109" s="68">
        <f>PMT(M100,M101,-M102)</f>
        <v>921072.69369915058</v>
      </c>
      <c r="N109" s="2"/>
      <c r="O109" s="108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3">
      <c r="A110" s="2"/>
      <c r="B110" s="2"/>
      <c r="C110" s="64" t="str">
        <f>C67</f>
        <v>MER zeolite membrane *</v>
      </c>
      <c r="D110" s="65">
        <f>L67</f>
        <v>5605.5203301520478</v>
      </c>
      <c r="E110" s="66">
        <f t="shared" ref="E110:E111" si="30">D110*$D$104</f>
        <v>1868506.7767173492</v>
      </c>
      <c r="F110" s="22"/>
      <c r="G110" s="64" t="str">
        <f>C67</f>
        <v>MER zeolite membrane *</v>
      </c>
      <c r="H110" s="65">
        <f>L79</f>
        <v>8178.546055467742</v>
      </c>
      <c r="I110" s="66">
        <f t="shared" ref="I110:I112" si="31">H110*$D$104</f>
        <v>2726182.0184892472</v>
      </c>
      <c r="J110" s="2"/>
      <c r="K110" s="2"/>
      <c r="L110" s="67" t="s">
        <v>71</v>
      </c>
      <c r="M110" s="28"/>
      <c r="N110" s="2"/>
      <c r="O110" s="86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x14ac:dyDescent="0.3">
      <c r="A111" s="2"/>
      <c r="B111" s="2"/>
      <c r="C111" s="64" t="str">
        <f>C68</f>
        <v>Zhong et al. (liuotus ja kuivatus)</v>
      </c>
      <c r="D111" s="65">
        <f>L68</f>
        <v>7536.6904438934562</v>
      </c>
      <c r="E111" s="66">
        <f t="shared" si="30"/>
        <v>2512230.1479644855</v>
      </c>
      <c r="F111" s="22"/>
      <c r="G111" s="64" t="str">
        <f>C68</f>
        <v>Zhong et al. (liuotus ja kuivatus)</v>
      </c>
      <c r="H111" s="65">
        <f>L80</f>
        <v>10996.154909942908</v>
      </c>
      <c r="I111" s="66">
        <f t="shared" si="31"/>
        <v>3665384.9699809691</v>
      </c>
      <c r="J111" s="2"/>
      <c r="K111" s="2"/>
      <c r="L111" s="27" t="s">
        <v>94</v>
      </c>
      <c r="M111" s="87"/>
      <c r="O111" s="125" t="s">
        <v>36</v>
      </c>
      <c r="P111" s="123" t="s">
        <v>38</v>
      </c>
      <c r="Q111" s="123" t="s">
        <v>39</v>
      </c>
      <c r="R111" s="123" t="s">
        <v>37</v>
      </c>
      <c r="S111" s="126" t="s">
        <v>111</v>
      </c>
      <c r="T111" s="2"/>
      <c r="U111" s="2"/>
      <c r="V111" s="2"/>
      <c r="W111" s="2"/>
      <c r="X111" s="2"/>
      <c r="Y111" s="2"/>
    </row>
    <row r="112" spans="1:25" x14ac:dyDescent="0.3">
      <c r="A112" s="2"/>
      <c r="B112" s="2"/>
      <c r="C112" s="69" t="str">
        <f>C69</f>
        <v>Pan et al. (liuotus, uutto, elektrolyysi)</v>
      </c>
      <c r="D112" s="70">
        <f>L69</f>
        <v>8149.3669799786703</v>
      </c>
      <c r="E112" s="71">
        <f>D112*$D$104</f>
        <v>2716455.65999289</v>
      </c>
      <c r="F112" s="22"/>
      <c r="G112" s="69" t="str">
        <f>C69</f>
        <v>Pan et al. (liuotus, uutto, elektrolyysi)</v>
      </c>
      <c r="H112" s="70">
        <f>L81</f>
        <v>11890.060019968878</v>
      </c>
      <c r="I112" s="71">
        <f t="shared" si="31"/>
        <v>3963353.3399896258</v>
      </c>
      <c r="J112" s="2"/>
      <c r="K112" s="2"/>
      <c r="L112" s="67" t="s">
        <v>72</v>
      </c>
      <c r="M112" s="68">
        <f>0.15*M109</f>
        <v>138160.90405487258</v>
      </c>
      <c r="N112" s="2" t="s">
        <v>100</v>
      </c>
      <c r="O112" s="127">
        <f>NPV($M$100,D145,D145,D145,D145,D145,D145,D145,D145,D145,D145)</f>
        <v>14003851.820490265</v>
      </c>
      <c r="P112" s="128">
        <f>NPV($M$100,E145,E145,E145,E145,E145,E145,E145,E145,E145,E145)</f>
        <v>16299565.233685385</v>
      </c>
      <c r="Q112" s="128">
        <f>NPV($M$100,F145,F145,F145,F145,F145,F145,F145,F145,F145,F145)</f>
        <v>20431849.377436608</v>
      </c>
      <c r="R112" s="128">
        <f>NPV($M$100,G145,G145,G145,G145,G145,G145,G145,G145,G145,G145)</f>
        <v>17217850.598963436</v>
      </c>
      <c r="S112" s="129">
        <f>NPV($M$100,H145,H145,H145,H145,H145,H145,H145,H145,H145,H145)</f>
        <v>18824849.98820002</v>
      </c>
      <c r="T112" s="2"/>
      <c r="U112" s="2"/>
      <c r="V112" s="2"/>
      <c r="W112" s="2"/>
      <c r="X112" s="2"/>
      <c r="Y112" s="2"/>
    </row>
    <row r="113" spans="1:25" x14ac:dyDescent="0.3">
      <c r="A113" s="2"/>
      <c r="B113" s="2"/>
      <c r="C113" s="47"/>
      <c r="D113" s="22"/>
      <c r="E113" s="66"/>
      <c r="F113" s="22"/>
      <c r="G113" s="47"/>
      <c r="H113" s="22"/>
      <c r="I113" s="65"/>
      <c r="J113" s="2"/>
      <c r="K113" s="2"/>
      <c r="L113" s="72" t="s">
        <v>78</v>
      </c>
      <c r="M113" s="73">
        <f>SUM(M109:M112)</f>
        <v>1059233.597754023</v>
      </c>
      <c r="N113" s="2"/>
      <c r="O113" s="109"/>
      <c r="P113" s="110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3">
      <c r="A114" s="2"/>
      <c r="B114" s="2"/>
      <c r="C114" s="60" t="s">
        <v>64</v>
      </c>
      <c r="D114" s="61" t="s">
        <v>67</v>
      </c>
      <c r="E114" s="5" t="s">
        <v>68</v>
      </c>
      <c r="F114" s="22"/>
      <c r="G114" s="60" t="s">
        <v>37</v>
      </c>
      <c r="H114" s="61" t="s">
        <v>67</v>
      </c>
      <c r="I114" s="5" t="s">
        <v>68</v>
      </c>
      <c r="J114" s="2"/>
      <c r="K114" s="2"/>
      <c r="L114" s="2"/>
      <c r="M114" s="2"/>
      <c r="N114" s="2"/>
      <c r="O114" s="2"/>
      <c r="P114" s="86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3">
      <c r="A115" s="2"/>
      <c r="B115" s="2"/>
      <c r="C115" s="64" t="str">
        <f>C66</f>
        <v>MER zeolite membrane</v>
      </c>
      <c r="D115" s="65">
        <f>L72</f>
        <v>3262.2290445966828</v>
      </c>
      <c r="E115" s="66">
        <f>D115*$D$104</f>
        <v>1087409.6815322274</v>
      </c>
      <c r="F115" s="22"/>
      <c r="G115" s="64" t="str">
        <f>C66</f>
        <v>MER zeolite membrane</v>
      </c>
      <c r="H115" s="65">
        <f>L84</f>
        <v>3446.0165964049465</v>
      </c>
      <c r="I115" s="66">
        <f>H115*$D$104</f>
        <v>1148672.1988016488</v>
      </c>
      <c r="J115" s="2"/>
      <c r="K115" s="2"/>
      <c r="L115" s="2"/>
      <c r="M115" s="2"/>
      <c r="N115" s="2"/>
      <c r="O115" s="2"/>
      <c r="P115" s="86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3">
      <c r="A116" s="2"/>
      <c r="B116" s="2"/>
      <c r="C116" s="64" t="str">
        <f>C67</f>
        <v>MER zeolite membrane *</v>
      </c>
      <c r="D116" s="65">
        <f>L73</f>
        <v>6524.4580891933656</v>
      </c>
      <c r="E116" s="66">
        <f t="shared" ref="E116:E118" si="32">D116*$D$104</f>
        <v>2174819.3630644549</v>
      </c>
      <c r="F116" s="22"/>
      <c r="G116" s="64" t="str">
        <f>C67</f>
        <v>MER zeolite membrane *</v>
      </c>
      <c r="H116" s="65">
        <f>L85</f>
        <v>6892.0331928098931</v>
      </c>
      <c r="I116" s="66">
        <f t="shared" ref="I116:I118" si="33">H116*$D$104</f>
        <v>2297344.3976032976</v>
      </c>
      <c r="J116" s="2"/>
      <c r="K116" s="2"/>
      <c r="L116" s="2"/>
      <c r="M116" s="2"/>
      <c r="N116" s="2"/>
      <c r="O116" s="47"/>
      <c r="P116" s="86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3">
      <c r="A117" s="2"/>
      <c r="B117" s="2"/>
      <c r="C117" s="64" t="str">
        <f>C68</f>
        <v>Zhong et al. (liuotus ja kuivatus)</v>
      </c>
      <c r="D117" s="65">
        <f>L74</f>
        <v>8772.2134674825447</v>
      </c>
      <c r="E117" s="66">
        <f t="shared" si="32"/>
        <v>2924071.1558275148</v>
      </c>
      <c r="F117" s="22"/>
      <c r="G117" s="64" t="str">
        <f>C68</f>
        <v>Zhong et al. (liuotus ja kuivatus)</v>
      </c>
      <c r="H117" s="65">
        <f>L86</f>
        <v>9266.4226769181823</v>
      </c>
      <c r="I117" s="66">
        <f t="shared" si="33"/>
        <v>3088807.558972727</v>
      </c>
      <c r="J117" s="2"/>
      <c r="K117" s="2"/>
      <c r="L117" s="2"/>
      <c r="M117" s="2"/>
      <c r="N117" s="2"/>
      <c r="O117" s="47"/>
      <c r="P117" s="108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3">
      <c r="A118" s="2"/>
      <c r="B118" s="2"/>
      <c r="C118" s="69" t="str">
        <f>C69</f>
        <v>Pan et al. (liuotus, uutto, elektrolyysi)</v>
      </c>
      <c r="D118" s="70">
        <f>L75</f>
        <v>9485.3287799751761</v>
      </c>
      <c r="E118" s="71">
        <f t="shared" si="32"/>
        <v>3161776.259991725</v>
      </c>
      <c r="F118" s="22"/>
      <c r="G118" s="69" t="str">
        <f>C69</f>
        <v>Pan et al. (liuotus, uutto, elektrolyysi)</v>
      </c>
      <c r="H118" s="70">
        <f>L87</f>
        <v>10019.713499973775</v>
      </c>
      <c r="I118" s="71">
        <f t="shared" si="33"/>
        <v>3339904.4999912581</v>
      </c>
      <c r="J118" s="2"/>
      <c r="K118" s="2"/>
      <c r="L118" s="2"/>
      <c r="M118" s="2"/>
      <c r="N118" s="2"/>
      <c r="O118" s="47"/>
      <c r="P118" s="86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94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3">
      <c r="A120" s="2"/>
      <c r="B120" s="2"/>
      <c r="C120" s="60" t="s">
        <v>111</v>
      </c>
      <c r="D120" s="61" t="s">
        <v>67</v>
      </c>
      <c r="E120" s="5" t="s">
        <v>68</v>
      </c>
      <c r="F120" s="2"/>
      <c r="G120" s="2"/>
      <c r="H120" s="2"/>
      <c r="I120" s="2"/>
      <c r="J120" s="2"/>
      <c r="K120" s="2"/>
      <c r="L120" s="2"/>
      <c r="M120" s="2"/>
      <c r="N120" s="2"/>
      <c r="O120" s="47"/>
      <c r="P120" s="108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3">
      <c r="A121" s="2"/>
      <c r="B121" s="2"/>
      <c r="C121" s="64" t="str">
        <f>C66</f>
        <v>MER zeolite membrane</v>
      </c>
      <c r="D121" s="65">
        <f>L90</f>
        <v>3767.644812069409</v>
      </c>
      <c r="E121" s="66">
        <f>D121*$D$104</f>
        <v>1255881.6040231362</v>
      </c>
      <c r="F121" s="2"/>
      <c r="G121" s="2"/>
      <c r="H121" s="2"/>
      <c r="I121" s="2"/>
      <c r="J121" s="2"/>
      <c r="K121" s="2"/>
      <c r="L121" s="2"/>
      <c r="M121" s="2"/>
      <c r="N121" s="2"/>
      <c r="O121" s="109"/>
      <c r="P121" s="110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3">
      <c r="A122" s="2"/>
      <c r="B122" s="2"/>
      <c r="C122" s="64" t="str">
        <f>C67</f>
        <v>MER zeolite membrane *</v>
      </c>
      <c r="D122" s="65">
        <f>L91</f>
        <v>7535.289624138818</v>
      </c>
      <c r="E122" s="66">
        <f t="shared" ref="E122:E124" si="34">D122*$D$104</f>
        <v>2511763.2080462724</v>
      </c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3">
      <c r="A123" s="2"/>
      <c r="B123" s="2"/>
      <c r="C123" s="64" t="str">
        <f>C68</f>
        <v>Zhong et al. (liuotus ja kuivatus)</v>
      </c>
      <c r="D123" s="65">
        <f>L92</f>
        <v>10131.288793430545</v>
      </c>
      <c r="E123" s="66">
        <f t="shared" si="34"/>
        <v>3377096.2644768483</v>
      </c>
      <c r="F123" s="2"/>
      <c r="H123" s="2"/>
      <c r="I123" s="2"/>
      <c r="J123" s="2"/>
      <c r="K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3">
      <c r="A124" s="2"/>
      <c r="B124" s="2"/>
      <c r="C124" s="69" t="s">
        <v>112</v>
      </c>
      <c r="D124" s="70">
        <f>L93</f>
        <v>10954.886759971325</v>
      </c>
      <c r="E124" s="71">
        <f t="shared" si="34"/>
        <v>3651628.9199904413</v>
      </c>
      <c r="F124" s="2"/>
      <c r="G124" s="2"/>
      <c r="H124" s="22"/>
      <c r="I124" s="2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3">
      <c r="A125" s="2"/>
      <c r="B125" s="2"/>
      <c r="C125" s="2"/>
      <c r="D125" s="2"/>
      <c r="E125" s="2"/>
      <c r="F125" s="2"/>
      <c r="G125" s="121" t="s">
        <v>152</v>
      </c>
      <c r="H125" s="65"/>
      <c r="I125" s="6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3">
      <c r="A126" s="2"/>
      <c r="B126" s="2"/>
      <c r="C126" s="47" t="s">
        <v>122</v>
      </c>
      <c r="D126" s="65" t="s">
        <v>36</v>
      </c>
      <c r="E126" s="65" t="str">
        <f>C40</f>
        <v>Kaksi vaiheinen liuotus</v>
      </c>
      <c r="F126" s="22" t="str">
        <f>C41</f>
        <v>Haihdutuskiteytys</v>
      </c>
      <c r="G126" s="47" t="str">
        <f>C42</f>
        <v>Jäädytyskiteytys</v>
      </c>
      <c r="H126" s="65" t="str">
        <f>C43</f>
        <v>Ioninvaihto</v>
      </c>
      <c r="I126" s="65" t="s">
        <v>150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3">
      <c r="A127" s="2"/>
      <c r="B127" s="2"/>
      <c r="C127" s="104">
        <v>0.1</v>
      </c>
      <c r="D127" s="65">
        <f>C127*$E$39</f>
        <v>464.52379443148806</v>
      </c>
      <c r="E127" s="65">
        <f>C127*$E$40</f>
        <v>540.67523614156801</v>
      </c>
      <c r="F127" s="65">
        <f>C127*$E$41</f>
        <v>677.747831219712</v>
      </c>
      <c r="G127" s="65">
        <f>C127*$E$42</f>
        <v>571.13581282560006</v>
      </c>
      <c r="H127" s="65">
        <f>C127*$E$43</f>
        <v>624.44182202265597</v>
      </c>
      <c r="I127" s="65" t="s">
        <v>32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3">
      <c r="A128" s="2"/>
      <c r="B128" s="2"/>
      <c r="C128" s="104">
        <v>0.2</v>
      </c>
      <c r="D128" s="65">
        <f t="shared" ref="D128:D136" si="35">C128*$E$39</f>
        <v>929.04758886297611</v>
      </c>
      <c r="E128" s="65">
        <f t="shared" ref="E128:E136" si="36">C128*$E$40</f>
        <v>1081.350472283136</v>
      </c>
      <c r="F128" s="65">
        <f t="shared" ref="F128:F136" si="37">C128*$E$41</f>
        <v>1355.495662439424</v>
      </c>
      <c r="G128" s="65">
        <f t="shared" ref="G128:G136" si="38">C128*$E$42</f>
        <v>1142.2716256512001</v>
      </c>
      <c r="H128" s="65">
        <f t="shared" ref="H128:H136" si="39">C128*$E$43</f>
        <v>1248.8836440453119</v>
      </c>
      <c r="I128" s="65" t="s">
        <v>32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3">
      <c r="A129" s="2"/>
      <c r="B129" s="2"/>
      <c r="C129" s="104">
        <v>0.3</v>
      </c>
      <c r="D129" s="65">
        <f t="shared" si="35"/>
        <v>1393.5713832944641</v>
      </c>
      <c r="E129" s="65">
        <f t="shared" si="36"/>
        <v>1622.0257084247039</v>
      </c>
      <c r="F129" s="65">
        <f t="shared" si="37"/>
        <v>2033.2434936591358</v>
      </c>
      <c r="G129" s="65">
        <f t="shared" si="38"/>
        <v>1713.4074384767998</v>
      </c>
      <c r="H129" s="65">
        <f t="shared" si="39"/>
        <v>1873.3254660679677</v>
      </c>
      <c r="I129" s="65" t="s">
        <v>32</v>
      </c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3">
      <c r="A130" s="2"/>
      <c r="B130" s="2"/>
      <c r="C130" s="104">
        <v>0.4</v>
      </c>
      <c r="D130" s="65">
        <f t="shared" si="35"/>
        <v>1858.0951777259522</v>
      </c>
      <c r="E130" s="65">
        <f t="shared" si="36"/>
        <v>2162.700944566272</v>
      </c>
      <c r="F130" s="65">
        <f t="shared" si="37"/>
        <v>2710.991324878848</v>
      </c>
      <c r="G130" s="65">
        <f t="shared" si="38"/>
        <v>2284.5432513024002</v>
      </c>
      <c r="H130" s="65">
        <f t="shared" si="39"/>
        <v>2497.7672880906239</v>
      </c>
      <c r="I130" s="65" t="s">
        <v>32</v>
      </c>
      <c r="J130" s="2"/>
      <c r="K130" s="2"/>
      <c r="L130" s="47"/>
      <c r="M130" s="22"/>
      <c r="N130" s="22"/>
      <c r="O130" s="22"/>
      <c r="P130" s="47"/>
      <c r="Q130" s="2"/>
      <c r="R130" s="2"/>
      <c r="S130" s="2"/>
      <c r="T130" s="2"/>
      <c r="U130" s="2"/>
      <c r="V130" s="2"/>
      <c r="W130" s="2"/>
      <c r="X130" s="2"/>
      <c r="Y130" s="2"/>
    </row>
    <row r="131" spans="1:25" x14ac:dyDescent="0.3">
      <c r="A131" s="2"/>
      <c r="B131" s="2"/>
      <c r="C131" s="104">
        <v>0.5</v>
      </c>
      <c r="D131" s="65">
        <f t="shared" si="35"/>
        <v>2322.6189721574401</v>
      </c>
      <c r="E131" s="65">
        <f t="shared" si="36"/>
        <v>2703.3761807078399</v>
      </c>
      <c r="F131" s="65">
        <f t="shared" si="37"/>
        <v>3388.7391560985598</v>
      </c>
      <c r="G131" s="65">
        <f t="shared" si="38"/>
        <v>2855.6790641279999</v>
      </c>
      <c r="H131" s="65">
        <f t="shared" si="39"/>
        <v>3122.2091101132796</v>
      </c>
      <c r="I131" s="65" t="s">
        <v>32</v>
      </c>
      <c r="J131" s="2"/>
      <c r="K131" s="2"/>
      <c r="L131" s="2" t="s">
        <v>137</v>
      </c>
      <c r="M131" s="2"/>
      <c r="N131" s="2"/>
      <c r="O131" s="22"/>
      <c r="P131" s="47"/>
      <c r="Q131" s="2"/>
      <c r="R131" s="93"/>
      <c r="S131" s="2"/>
      <c r="T131" s="2"/>
      <c r="U131" s="2"/>
      <c r="V131" s="2"/>
      <c r="W131" s="2"/>
      <c r="X131" s="2"/>
      <c r="Y131" s="2"/>
    </row>
    <row r="132" spans="1:25" x14ac:dyDescent="0.3">
      <c r="A132" s="2"/>
      <c r="B132" s="2"/>
      <c r="C132" s="104">
        <v>0.6</v>
      </c>
      <c r="D132" s="65">
        <f t="shared" si="35"/>
        <v>2787.1427665889282</v>
      </c>
      <c r="E132" s="65">
        <f t="shared" si="36"/>
        <v>3244.0514168494078</v>
      </c>
      <c r="F132" s="65">
        <f t="shared" si="37"/>
        <v>4066.4869873182715</v>
      </c>
      <c r="G132" s="65">
        <f t="shared" si="38"/>
        <v>3426.8148769535997</v>
      </c>
      <c r="H132" s="65">
        <f t="shared" si="39"/>
        <v>3746.6509321359354</v>
      </c>
      <c r="I132" s="65" t="s">
        <v>32</v>
      </c>
      <c r="J132" s="2"/>
      <c r="K132" s="2"/>
      <c r="L132" s="62" t="s">
        <v>109</v>
      </c>
      <c r="M132" s="117">
        <v>2</v>
      </c>
      <c r="N132" s="118" t="s">
        <v>77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3">
      <c r="A133" s="2"/>
      <c r="B133" s="2"/>
      <c r="C133" s="104">
        <v>0.7</v>
      </c>
      <c r="D133" s="65">
        <f t="shared" si="35"/>
        <v>3251.6665610204159</v>
      </c>
      <c r="E133" s="65">
        <f t="shared" si="36"/>
        <v>3784.7266529909757</v>
      </c>
      <c r="F133" s="65">
        <f t="shared" si="37"/>
        <v>4744.2348185379833</v>
      </c>
      <c r="G133" s="65">
        <f t="shared" si="38"/>
        <v>3997.9506897791998</v>
      </c>
      <c r="H133" s="65">
        <f t="shared" si="39"/>
        <v>4371.0927541585916</v>
      </c>
      <c r="I133" s="65" t="s">
        <v>32</v>
      </c>
      <c r="J133" s="2"/>
      <c r="K133" s="2"/>
      <c r="L133" s="49" t="s">
        <v>75</v>
      </c>
      <c r="M133" s="18">
        <v>7.0000000000000007E-2</v>
      </c>
      <c r="N133" s="19" t="s">
        <v>1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3">
      <c r="A134" s="2"/>
      <c r="B134" s="2"/>
      <c r="C134" s="104">
        <v>0.8</v>
      </c>
      <c r="D134" s="65">
        <f t="shared" si="35"/>
        <v>3716.1903554519045</v>
      </c>
      <c r="E134" s="65">
        <f t="shared" si="36"/>
        <v>4325.4018891325441</v>
      </c>
      <c r="F134" s="65">
        <f t="shared" si="37"/>
        <v>5421.982649757696</v>
      </c>
      <c r="G134" s="65">
        <f t="shared" si="38"/>
        <v>4569.0865026048004</v>
      </c>
      <c r="H134" s="65">
        <f t="shared" si="39"/>
        <v>4995.5345761812478</v>
      </c>
      <c r="I134" s="65" t="s">
        <v>32</v>
      </c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3">
      <c r="A135" s="2"/>
      <c r="B135" s="2"/>
      <c r="C135" s="104">
        <v>0.9</v>
      </c>
      <c r="D135" s="65">
        <f t="shared" si="35"/>
        <v>4180.7141498833926</v>
      </c>
      <c r="E135" s="65">
        <f t="shared" si="36"/>
        <v>4866.0771252741124</v>
      </c>
      <c r="F135" s="65">
        <f t="shared" si="37"/>
        <v>6099.7304809774078</v>
      </c>
      <c r="G135" s="65">
        <f t="shared" si="38"/>
        <v>5140.2223154304002</v>
      </c>
      <c r="H135" s="65">
        <f t="shared" si="39"/>
        <v>5619.976398203903</v>
      </c>
      <c r="I135" s="65" t="s">
        <v>32</v>
      </c>
      <c r="J135" s="2"/>
      <c r="K135" s="2"/>
      <c r="L135" s="74"/>
      <c r="M135" s="105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3">
      <c r="A136" s="2"/>
      <c r="B136" s="2"/>
      <c r="C136" s="104">
        <v>1</v>
      </c>
      <c r="D136" s="65">
        <f t="shared" si="35"/>
        <v>4645.2379443148802</v>
      </c>
      <c r="E136" s="65">
        <f t="shared" si="36"/>
        <v>5406.7523614156798</v>
      </c>
      <c r="F136" s="65">
        <f t="shared" si="37"/>
        <v>6777.4783121971195</v>
      </c>
      <c r="G136" s="65">
        <f t="shared" si="38"/>
        <v>5711.3581282559999</v>
      </c>
      <c r="H136" s="65">
        <f t="shared" si="39"/>
        <v>6244.4182202265592</v>
      </c>
      <c r="I136" s="65" t="s">
        <v>32</v>
      </c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3">
      <c r="A137" s="2"/>
      <c r="B137" s="2"/>
      <c r="J137" s="2"/>
      <c r="K137" s="2"/>
      <c r="L137" s="9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3">
      <c r="A138" s="2"/>
      <c r="B138" s="2"/>
      <c r="C138" s="2" t="s">
        <v>123</v>
      </c>
      <c r="D138" s="94" t="s">
        <v>36</v>
      </c>
      <c r="E138" s="86" t="str">
        <f>C40</f>
        <v>Kaksi vaiheinen liuotus</v>
      </c>
      <c r="F138" s="86" t="str">
        <f>C41</f>
        <v>Haihdutuskiteytys</v>
      </c>
      <c r="G138" s="86" t="str">
        <f>C42</f>
        <v>Jäädytyskiteytys</v>
      </c>
      <c r="H138" s="86" t="str">
        <f>C43</f>
        <v>Ioninvaihto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3">
      <c r="A139" s="2"/>
      <c r="B139" s="2"/>
      <c r="C139" s="104">
        <v>0.1</v>
      </c>
      <c r="D139" s="52">
        <f t="shared" ref="D139:H148" si="40">D127/1000*($I$47/100/$J$54*$I$39+$I$48/100/$J$55*$I$40+$I$49/100/$J$56*$I$41)*$D$104</f>
        <v>284833.35010935203</v>
      </c>
      <c r="E139" s="52">
        <f t="shared" si="40"/>
        <v>331527.34193055722</v>
      </c>
      <c r="F139" s="52">
        <f t="shared" si="40"/>
        <v>415576.52720872674</v>
      </c>
      <c r="G139" s="52">
        <f t="shared" si="40"/>
        <v>350204.93865903938</v>
      </c>
      <c r="H139" s="52">
        <f t="shared" si="40"/>
        <v>382890.73293388303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3">
      <c r="A140" s="2"/>
      <c r="B140" s="2"/>
      <c r="C140" s="104">
        <v>0.2</v>
      </c>
      <c r="D140" s="52">
        <f t="shared" si="40"/>
        <v>569666.70021870406</v>
      </c>
      <c r="E140" s="52">
        <f t="shared" si="40"/>
        <v>663054.68386111443</v>
      </c>
      <c r="F140" s="52">
        <f t="shared" si="40"/>
        <v>831153.05441745347</v>
      </c>
      <c r="G140" s="52">
        <f t="shared" si="40"/>
        <v>700409.87731807877</v>
      </c>
      <c r="H140" s="52">
        <f t="shared" si="40"/>
        <v>765781.46586776606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3">
      <c r="A141" s="2"/>
      <c r="B141" s="2"/>
      <c r="C141" s="104">
        <v>0.3</v>
      </c>
      <c r="D141" s="52">
        <f t="shared" si="40"/>
        <v>854500.05032805598</v>
      </c>
      <c r="E141" s="52">
        <f t="shared" si="40"/>
        <v>994582.02579167159</v>
      </c>
      <c r="F141" s="52">
        <f t="shared" si="40"/>
        <v>1246729.5816261799</v>
      </c>
      <c r="G141" s="52">
        <f t="shared" si="40"/>
        <v>1050614.815977118</v>
      </c>
      <c r="H141" s="52">
        <f t="shared" si="40"/>
        <v>1148672.198801649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3">
      <c r="A142" s="2"/>
      <c r="B142" s="2"/>
      <c r="C142" s="104">
        <v>0.4</v>
      </c>
      <c r="D142" s="52">
        <f t="shared" si="40"/>
        <v>1139333.4004374081</v>
      </c>
      <c r="E142" s="52">
        <f t="shared" si="40"/>
        <v>1326109.3677222289</v>
      </c>
      <c r="F142" s="52">
        <f t="shared" si="40"/>
        <v>1662306.1088349069</v>
      </c>
      <c r="G142" s="52">
        <f t="shared" si="40"/>
        <v>1400819.7546361575</v>
      </c>
      <c r="H142" s="52">
        <f t="shared" si="40"/>
        <v>1531562.9317355321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3">
      <c r="A143" s="2"/>
      <c r="B143" s="2"/>
      <c r="C143" s="104">
        <v>0.5</v>
      </c>
      <c r="D143" s="52">
        <f t="shared" si="40"/>
        <v>1424166.7505467602</v>
      </c>
      <c r="E143" s="52">
        <f t="shared" si="40"/>
        <v>1657636.7096527861</v>
      </c>
      <c r="F143" s="52">
        <f t="shared" si="40"/>
        <v>2077882.6360436331</v>
      </c>
      <c r="G143" s="52">
        <f t="shared" si="40"/>
        <v>1751024.6932951966</v>
      </c>
      <c r="H143" s="52">
        <f t="shared" si="40"/>
        <v>1914453.664669415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3">
      <c r="A144" s="2"/>
      <c r="B144" s="2"/>
      <c r="C144" s="104">
        <v>0.6</v>
      </c>
      <c r="D144" s="52">
        <f t="shared" si="40"/>
        <v>1709000.100656112</v>
      </c>
      <c r="E144" s="52">
        <f t="shared" si="40"/>
        <v>1989164.0515833432</v>
      </c>
      <c r="F144" s="52">
        <f t="shared" si="40"/>
        <v>2493459.1632523597</v>
      </c>
      <c r="G144" s="52">
        <f t="shared" si="40"/>
        <v>2101229.631954236</v>
      </c>
      <c r="H144" s="52">
        <f t="shared" si="40"/>
        <v>2297344.3976032981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8" x14ac:dyDescent="0.3">
      <c r="A145" s="2"/>
      <c r="B145" s="2"/>
      <c r="C145" s="104">
        <v>0.7</v>
      </c>
      <c r="D145" s="52">
        <f t="shared" si="40"/>
        <v>1993833.450765464</v>
      </c>
      <c r="E145" s="52">
        <f t="shared" si="40"/>
        <v>2320691.3935139007</v>
      </c>
      <c r="F145" s="52">
        <f t="shared" si="40"/>
        <v>2909035.6904610866</v>
      </c>
      <c r="G145" s="52">
        <f t="shared" si="40"/>
        <v>2451434.5706132753</v>
      </c>
      <c r="H145" s="52">
        <f t="shared" si="40"/>
        <v>2680235.1305371807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8" x14ac:dyDescent="0.3">
      <c r="A146" s="2"/>
      <c r="B146" s="2"/>
      <c r="C146" s="104">
        <v>0.8</v>
      </c>
      <c r="D146" s="52">
        <f t="shared" si="40"/>
        <v>2278666.8008748163</v>
      </c>
      <c r="E146" s="52">
        <f t="shared" si="40"/>
        <v>2652218.7354444577</v>
      </c>
      <c r="F146" s="52">
        <f t="shared" si="40"/>
        <v>3324612.2176698139</v>
      </c>
      <c r="G146" s="52">
        <f t="shared" si="40"/>
        <v>2801639.5092723151</v>
      </c>
      <c r="H146" s="52">
        <f t="shared" si="40"/>
        <v>3063125.8634710643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8" x14ac:dyDescent="0.3">
      <c r="A147" s="2"/>
      <c r="B147" s="2"/>
      <c r="C147" s="104">
        <v>0.9</v>
      </c>
      <c r="D147" s="52">
        <f t="shared" si="40"/>
        <v>2563500.1509841685</v>
      </c>
      <c r="E147" s="52">
        <f t="shared" si="40"/>
        <v>2983746.0773750157</v>
      </c>
      <c r="F147" s="52">
        <f t="shared" si="40"/>
        <v>3740188.7448785398</v>
      </c>
      <c r="G147" s="52">
        <f t="shared" si="40"/>
        <v>3151844.4479313544</v>
      </c>
      <c r="H147" s="52">
        <f t="shared" si="40"/>
        <v>3446016.5964049464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8" x14ac:dyDescent="0.3">
      <c r="A148" s="2"/>
      <c r="B148" s="2"/>
      <c r="C148" s="104">
        <v>1</v>
      </c>
      <c r="D148" s="52">
        <f t="shared" si="40"/>
        <v>2848333.5010935203</v>
      </c>
      <c r="E148" s="52">
        <f t="shared" si="40"/>
        <v>3315273.4193055723</v>
      </c>
      <c r="F148" s="52">
        <f t="shared" si="40"/>
        <v>4155765.2720872662</v>
      </c>
      <c r="G148" s="52">
        <f t="shared" si="40"/>
        <v>3502049.3865903933</v>
      </c>
      <c r="H148" s="52">
        <f t="shared" si="40"/>
        <v>3828907.32933883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8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8" x14ac:dyDescent="0.3">
      <c r="A150" s="2"/>
      <c r="B150" s="2"/>
      <c r="C150" s="2" t="s">
        <v>120</v>
      </c>
      <c r="D150" s="94" t="str">
        <f>D126</f>
        <v>Liuotus</v>
      </c>
      <c r="E150" s="86" t="str">
        <f>C40</f>
        <v>Kaksi vaiheinen liuotus</v>
      </c>
      <c r="F150" s="86" t="str">
        <f>C41</f>
        <v>Haihdutuskiteytys</v>
      </c>
      <c r="G150" s="86" t="str">
        <f>C42</f>
        <v>Jäädytyskiteytys</v>
      </c>
      <c r="H150" s="86" t="str">
        <f>C43</f>
        <v>Ioninvaihto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8" x14ac:dyDescent="0.3">
      <c r="A151" s="2"/>
      <c r="B151" s="2"/>
      <c r="C151" s="104">
        <v>0.1</v>
      </c>
      <c r="D151" s="105">
        <f t="shared" ref="D151:H160" si="41">NPV($M$133,D139,D139)</f>
        <v>514983.87171487347</v>
      </c>
      <c r="E151" s="105">
        <f t="shared" si="41"/>
        <v>599407.4572419019</v>
      </c>
      <c r="F151" s="105">
        <f t="shared" si="41"/>
        <v>751369.91119055322</v>
      </c>
      <c r="G151" s="105">
        <f t="shared" si="41"/>
        <v>633176.89145271329</v>
      </c>
      <c r="H151" s="105">
        <f t="shared" si="41"/>
        <v>692273.40132163314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8" x14ac:dyDescent="0.3">
      <c r="A152" s="2"/>
      <c r="B152" s="2"/>
      <c r="C152" s="104">
        <v>0.2</v>
      </c>
      <c r="D152" s="105">
        <f t="shared" si="41"/>
        <v>1029967.7434297469</v>
      </c>
      <c r="E152" s="105">
        <f t="shared" si="41"/>
        <v>1198814.9144838038</v>
      </c>
      <c r="F152" s="105">
        <f t="shared" si="41"/>
        <v>1502739.8223811064</v>
      </c>
      <c r="G152" s="105">
        <f t="shared" si="41"/>
        <v>1266353.7829054266</v>
      </c>
      <c r="H152" s="105">
        <f t="shared" si="41"/>
        <v>1384546.8026432663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8" x14ac:dyDescent="0.3">
      <c r="A153" s="2"/>
      <c r="B153" s="2"/>
      <c r="C153" s="104">
        <v>0.3</v>
      </c>
      <c r="D153" s="105">
        <f t="shared" si="41"/>
        <v>1544951.6151446204</v>
      </c>
      <c r="E153" s="105">
        <f t="shared" si="41"/>
        <v>1798222.3717257052</v>
      </c>
      <c r="F153" s="105">
        <f t="shared" si="41"/>
        <v>2254109.7335716588</v>
      </c>
      <c r="G153" s="105">
        <f t="shared" si="41"/>
        <v>1899530.6743581395</v>
      </c>
      <c r="H153" s="105">
        <f t="shared" si="41"/>
        <v>2076820.2039648995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8" x14ac:dyDescent="0.3">
      <c r="A154" s="2"/>
      <c r="B154" s="2"/>
      <c r="C154" s="104">
        <v>0.4</v>
      </c>
      <c r="D154" s="105">
        <f t="shared" si="41"/>
        <v>2059935.4868594939</v>
      </c>
      <c r="E154" s="105">
        <f t="shared" si="41"/>
        <v>2397629.8289676076</v>
      </c>
      <c r="F154" s="105">
        <f t="shared" si="41"/>
        <v>3005479.6447622129</v>
      </c>
      <c r="G154" s="105">
        <f t="shared" si="41"/>
        <v>2532707.5658108531</v>
      </c>
      <c r="H154" s="105">
        <f t="shared" si="41"/>
        <v>2769093.6052865325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</row>
    <row r="155" spans="1:28" x14ac:dyDescent="0.3">
      <c r="A155" s="2"/>
      <c r="B155" s="2"/>
      <c r="C155" s="104">
        <v>0.5</v>
      </c>
      <c r="D155" s="105">
        <f t="shared" si="41"/>
        <v>2574919.3585743671</v>
      </c>
      <c r="E155" s="105">
        <f t="shared" si="41"/>
        <v>2997037.2862095088</v>
      </c>
      <c r="F155" s="105">
        <f t="shared" si="41"/>
        <v>3756849.5559527646</v>
      </c>
      <c r="G155" s="105">
        <f t="shared" si="41"/>
        <v>3165884.4572635661</v>
      </c>
      <c r="H155" s="105">
        <f t="shared" si="41"/>
        <v>3461367.0066081653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</row>
    <row r="156" spans="1:28" x14ac:dyDescent="0.3">
      <c r="A156" s="2"/>
      <c r="B156" s="2"/>
      <c r="C156" s="104">
        <v>0.6</v>
      </c>
      <c r="D156" s="105">
        <f t="shared" si="41"/>
        <v>3089903.2302892408</v>
      </c>
      <c r="E156" s="105">
        <f t="shared" si="41"/>
        <v>3596444.7434514104</v>
      </c>
      <c r="F156" s="105">
        <f t="shared" si="41"/>
        <v>4508219.4671433177</v>
      </c>
      <c r="G156" s="105">
        <f t="shared" si="41"/>
        <v>3799061.348716279</v>
      </c>
      <c r="H156" s="105">
        <f t="shared" si="41"/>
        <v>4153640.4079297991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</row>
    <row r="157" spans="1:28" x14ac:dyDescent="0.3">
      <c r="A157" s="2"/>
      <c r="B157" s="2"/>
      <c r="C157" s="104">
        <v>0.7</v>
      </c>
      <c r="D157" s="105">
        <f t="shared" si="41"/>
        <v>3604887.1020041141</v>
      </c>
      <c r="E157" s="105">
        <f t="shared" si="41"/>
        <v>4195852.200693313</v>
      </c>
      <c r="F157" s="105">
        <f t="shared" si="41"/>
        <v>5259589.3783338713</v>
      </c>
      <c r="G157" s="105">
        <f t="shared" si="41"/>
        <v>4432238.2401689915</v>
      </c>
      <c r="H157" s="105">
        <f t="shared" si="41"/>
        <v>4845913.8092514314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</row>
    <row r="158" spans="1:28" x14ac:dyDescent="0.3">
      <c r="A158" s="2"/>
      <c r="B158" s="2"/>
      <c r="C158" s="104">
        <v>0.8</v>
      </c>
      <c r="D158" s="105">
        <f t="shared" si="41"/>
        <v>4119870.9737189878</v>
      </c>
      <c r="E158" s="105">
        <f t="shared" si="41"/>
        <v>4795259.6579352152</v>
      </c>
      <c r="F158" s="105">
        <f t="shared" si="41"/>
        <v>6010959.2895244258</v>
      </c>
      <c r="G158" s="105">
        <f t="shared" si="41"/>
        <v>5065415.1316217063</v>
      </c>
      <c r="H158" s="105">
        <f t="shared" si="41"/>
        <v>5538187.2105730651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</row>
    <row r="159" spans="1:28" x14ac:dyDescent="0.3">
      <c r="A159" s="2"/>
      <c r="B159" s="2"/>
      <c r="C159" s="104">
        <v>0.9</v>
      </c>
      <c r="D159" s="105">
        <f t="shared" si="41"/>
        <v>4634854.845433861</v>
      </c>
      <c r="E159" s="105">
        <f t="shared" si="41"/>
        <v>5394667.1151771182</v>
      </c>
      <c r="F159" s="105">
        <f t="shared" si="41"/>
        <v>6762329.2007149765</v>
      </c>
      <c r="G159" s="105">
        <f t="shared" si="41"/>
        <v>5698592.0230744192</v>
      </c>
      <c r="H159" s="105">
        <f t="shared" si="41"/>
        <v>6230460.611894697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</row>
    <row r="160" spans="1:28" x14ac:dyDescent="0.3">
      <c r="A160" s="2"/>
      <c r="B160" s="2"/>
      <c r="C160" s="104">
        <v>1</v>
      </c>
      <c r="D160" s="105">
        <f t="shared" si="41"/>
        <v>5149838.7171487343</v>
      </c>
      <c r="E160" s="105">
        <f t="shared" si="41"/>
        <v>5994074.5724190176</v>
      </c>
      <c r="F160" s="105">
        <f t="shared" si="41"/>
        <v>7513699.1119055292</v>
      </c>
      <c r="G160" s="105">
        <f t="shared" si="41"/>
        <v>6331768.9145271322</v>
      </c>
      <c r="H160" s="105">
        <f t="shared" si="41"/>
        <v>6922734.0132163307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</row>
    <row r="161" spans="1:28" x14ac:dyDescent="0.3">
      <c r="A161" s="2"/>
      <c r="B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</row>
    <row r="162" spans="1:28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</row>
    <row r="163" spans="1:28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</row>
    <row r="164" spans="1:28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</row>
    <row r="165" spans="1:28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</row>
    <row r="166" spans="1:28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</row>
    <row r="167" spans="1:28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</row>
    <row r="168" spans="1:28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</row>
    <row r="169" spans="1:28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</row>
    <row r="170" spans="1:28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</row>
    <row r="171" spans="1:28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</row>
    <row r="172" spans="1:28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</row>
    <row r="173" spans="1:28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</row>
    <row r="174" spans="1:28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</row>
    <row r="175" spans="1:28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</row>
    <row r="176" spans="1:28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</row>
    <row r="177" spans="1:28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</row>
    <row r="178" spans="1:28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</row>
    <row r="179" spans="1:28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</row>
    <row r="180" spans="1:28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</row>
    <row r="181" spans="1:28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</row>
    <row r="182" spans="1:28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</row>
    <row r="183" spans="1:28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</row>
    <row r="184" spans="1:28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</row>
    <row r="185" spans="1:28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</row>
  </sheetData>
  <conditionalFormatting sqref="E14">
    <cfRule type="cellIs" dxfId="149" priority="130" operator="lessThan">
      <formula>$D$3</formula>
    </cfRule>
    <cfRule type="cellIs" dxfId="148" priority="131" operator="greaterThan">
      <formula>$D$3</formula>
    </cfRule>
  </conditionalFormatting>
  <conditionalFormatting sqref="E15">
    <cfRule type="cellIs" dxfId="147" priority="132" operator="lessThan">
      <formula>$D$4</formula>
    </cfRule>
    <cfRule type="cellIs" dxfId="146" priority="133" operator="greaterThan">
      <formula>$D$4</formula>
    </cfRule>
  </conditionalFormatting>
  <conditionalFormatting sqref="E16">
    <cfRule type="cellIs" dxfId="145" priority="134" operator="lessThan">
      <formula>$D$5</formula>
    </cfRule>
    <cfRule type="cellIs" dxfId="144" priority="135" operator="greaterThan">
      <formula>$D$5</formula>
    </cfRule>
  </conditionalFormatting>
  <conditionalFormatting sqref="E17">
    <cfRule type="cellIs" dxfId="143" priority="136" operator="lessThan">
      <formula>$D$6</formula>
    </cfRule>
    <cfRule type="cellIs" dxfId="142" priority="137" operator="greaterThan">
      <formula>$D$6</formula>
    </cfRule>
  </conditionalFormatting>
  <conditionalFormatting sqref="E18">
    <cfRule type="cellIs" dxfId="141" priority="138" operator="lessThan">
      <formula>$D$7</formula>
    </cfRule>
    <cfRule type="cellIs" dxfId="140" priority="139" operator="greaterThan">
      <formula>$D$7</formula>
    </cfRule>
  </conditionalFormatting>
  <conditionalFormatting sqref="E19">
    <cfRule type="cellIs" dxfId="139" priority="140" operator="lessThan">
      <formula>$D$8</formula>
    </cfRule>
    <cfRule type="cellIs" dxfId="138" priority="141" operator="greaterThan">
      <formula>$D$8</formula>
    </cfRule>
  </conditionalFormatting>
  <conditionalFormatting sqref="E20">
    <cfRule type="cellIs" dxfId="137" priority="142" operator="lessThan">
      <formula>$D$9</formula>
    </cfRule>
    <cfRule type="cellIs" dxfId="136" priority="143" operator="greaterThan">
      <formula>$D$9</formula>
    </cfRule>
  </conditionalFormatting>
  <conditionalFormatting sqref="E21">
    <cfRule type="cellIs" dxfId="135" priority="144" operator="lessThan">
      <formula>$D$10</formula>
    </cfRule>
    <cfRule type="cellIs" dxfId="134" priority="145" operator="greaterThan">
      <formula>$D$10</formula>
    </cfRule>
  </conditionalFormatting>
  <conditionalFormatting sqref="E22">
    <cfRule type="cellIs" dxfId="133" priority="146" operator="lessThan">
      <formula>$D$11</formula>
    </cfRule>
    <cfRule type="cellIs" dxfId="132" priority="147" operator="greaterThan">
      <formula>$D$11</formula>
    </cfRule>
  </conditionalFormatting>
  <conditionalFormatting sqref="F14">
    <cfRule type="cellIs" dxfId="131" priority="148" operator="lessThan">
      <formula>$E$3</formula>
    </cfRule>
    <cfRule type="cellIs" dxfId="130" priority="149" operator="greaterThan">
      <formula>$E$3</formula>
    </cfRule>
  </conditionalFormatting>
  <conditionalFormatting sqref="F15">
    <cfRule type="cellIs" dxfId="129" priority="150" operator="lessThan">
      <formula>$E$4</formula>
    </cfRule>
    <cfRule type="cellIs" dxfId="128" priority="151" operator="greaterThan">
      <formula>$E$4</formula>
    </cfRule>
  </conditionalFormatting>
  <conditionalFormatting sqref="F16">
    <cfRule type="cellIs" dxfId="127" priority="152" operator="lessThan">
      <formula>$E$5</formula>
    </cfRule>
    <cfRule type="cellIs" dxfId="126" priority="153" operator="greaterThan">
      <formula>$E$5</formula>
    </cfRule>
  </conditionalFormatting>
  <conditionalFormatting sqref="F17">
    <cfRule type="cellIs" dxfId="125" priority="154" operator="lessThan">
      <formula>$E$6</formula>
    </cfRule>
    <cfRule type="cellIs" dxfId="124" priority="155" operator="greaterThan">
      <formula>$E$6</formula>
    </cfRule>
  </conditionalFormatting>
  <conditionalFormatting sqref="F18">
    <cfRule type="cellIs" dxfId="123" priority="156" operator="lessThan">
      <formula>$E$7</formula>
    </cfRule>
    <cfRule type="cellIs" dxfId="122" priority="157" operator="greaterThan">
      <formula>$E$7</formula>
    </cfRule>
  </conditionalFormatting>
  <conditionalFormatting sqref="F19">
    <cfRule type="cellIs" dxfId="121" priority="158" operator="lessThan">
      <formula>$E$8</formula>
    </cfRule>
    <cfRule type="cellIs" dxfId="120" priority="159" operator="greaterThan">
      <formula>$E$8</formula>
    </cfRule>
  </conditionalFormatting>
  <conditionalFormatting sqref="F20">
    <cfRule type="cellIs" dxfId="119" priority="160" operator="lessThan">
      <formula>$E$9</formula>
    </cfRule>
    <cfRule type="cellIs" dxfId="118" priority="161" operator="greaterThan">
      <formula>$E$9</formula>
    </cfRule>
  </conditionalFormatting>
  <conditionalFormatting sqref="F21">
    <cfRule type="cellIs" dxfId="117" priority="162" operator="lessThan">
      <formula>$E$10</formula>
    </cfRule>
    <cfRule type="cellIs" dxfId="116" priority="163" operator="greaterThan">
      <formula>$E$10</formula>
    </cfRule>
  </conditionalFormatting>
  <conditionalFormatting sqref="F22">
    <cfRule type="cellIs" dxfId="115" priority="164" operator="lessThan">
      <formula>$E$11</formula>
    </cfRule>
    <cfRule type="cellIs" dxfId="114" priority="165" operator="greaterThan">
      <formula>$E$11</formula>
    </cfRule>
  </conditionalFormatting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CD3DC7-4480-4914-8F8C-ED9B48551295}">
  <dimension ref="A1:AA183"/>
  <sheetViews>
    <sheetView topLeftCell="A96" zoomScale="50" zoomScaleNormal="50" workbookViewId="0">
      <selection activeCell="G100" sqref="G100"/>
    </sheetView>
  </sheetViews>
  <sheetFormatPr defaultRowHeight="14" x14ac:dyDescent="0.3"/>
  <cols>
    <col min="1" max="2" width="8.7265625" style="1"/>
    <col min="3" max="3" width="38.26953125" style="1" customWidth="1"/>
    <col min="4" max="4" width="18.90625" style="1" customWidth="1"/>
    <col min="5" max="5" width="23.1796875" style="1" customWidth="1"/>
    <col min="6" max="6" width="20.453125" style="1" customWidth="1"/>
    <col min="7" max="7" width="39.08984375" style="1" customWidth="1"/>
    <col min="8" max="8" width="53.81640625" style="1" customWidth="1"/>
    <col min="9" max="9" width="19" style="1" customWidth="1"/>
    <col min="10" max="10" width="13" style="1" customWidth="1"/>
    <col min="11" max="11" width="14.6328125" style="1" customWidth="1"/>
    <col min="12" max="12" width="21.26953125" style="1" customWidth="1"/>
    <col min="13" max="13" width="16.08984375" style="1" customWidth="1"/>
    <col min="14" max="14" width="14.90625" style="1" bestFit="1" customWidth="1"/>
    <col min="15" max="15" width="17" style="1" customWidth="1"/>
    <col min="16" max="16" width="21.90625" style="1" bestFit="1" customWidth="1"/>
    <col min="17" max="17" width="17.26953125" style="1" bestFit="1" customWidth="1"/>
    <col min="18" max="18" width="16.08984375" style="1" bestFit="1" customWidth="1"/>
    <col min="19" max="19" width="12.26953125" style="1" bestFit="1" customWidth="1"/>
    <col min="20" max="16384" width="8.7265625" style="1"/>
  </cols>
  <sheetData>
    <row r="1" spans="1:25" x14ac:dyDescent="0.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x14ac:dyDescent="0.3">
      <c r="A2" s="2"/>
      <c r="B2" s="2"/>
      <c r="C2" s="6" t="s">
        <v>115</v>
      </c>
      <c r="D2" s="8" t="s">
        <v>113</v>
      </c>
      <c r="E2" s="100" t="s">
        <v>113</v>
      </c>
      <c r="F2" s="2"/>
      <c r="G2" s="2"/>
      <c r="H2" s="3" t="s">
        <v>12</v>
      </c>
      <c r="I2" s="4" t="s">
        <v>1</v>
      </c>
      <c r="J2" s="5" t="s">
        <v>11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x14ac:dyDescent="0.3">
      <c r="A3" s="2"/>
      <c r="B3" s="2"/>
      <c r="C3" s="11" t="s">
        <v>17</v>
      </c>
      <c r="D3" s="99">
        <v>40</v>
      </c>
      <c r="E3" s="13">
        <v>40</v>
      </c>
      <c r="F3" s="2"/>
      <c r="G3" s="2"/>
      <c r="H3" s="48" t="s">
        <v>118</v>
      </c>
      <c r="I3" s="12">
        <v>0.46100000000000002</v>
      </c>
      <c r="J3" s="13">
        <f>I3*100</f>
        <v>46.1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x14ac:dyDescent="0.3">
      <c r="A4" s="2"/>
      <c r="B4" s="2"/>
      <c r="C4" s="15" t="s">
        <v>18</v>
      </c>
      <c r="D4" s="52">
        <v>1</v>
      </c>
      <c r="E4" s="10">
        <v>1</v>
      </c>
      <c r="F4" s="14"/>
      <c r="G4" s="2"/>
      <c r="H4" s="27" t="s">
        <v>119</v>
      </c>
      <c r="I4" s="2">
        <v>0.158</v>
      </c>
      <c r="J4" s="10">
        <f>I4*100</f>
        <v>15.8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4.5" customHeight="1" x14ac:dyDescent="0.3">
      <c r="A5" s="2"/>
      <c r="B5" s="2"/>
      <c r="C5" s="15" t="s">
        <v>19</v>
      </c>
      <c r="D5" s="52">
        <v>25</v>
      </c>
      <c r="E5" s="10">
        <v>1.5</v>
      </c>
      <c r="F5" s="14"/>
      <c r="G5" s="2"/>
      <c r="H5" s="9" t="s">
        <v>2</v>
      </c>
      <c r="I5" s="2">
        <v>0</v>
      </c>
      <c r="J5" s="10">
        <f t="shared" ref="J5:J12" si="0">I5*100</f>
        <v>0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x14ac:dyDescent="0.3">
      <c r="A6" s="2"/>
      <c r="B6" s="2"/>
      <c r="C6" s="15" t="s">
        <v>20</v>
      </c>
      <c r="D6" s="52">
        <v>120</v>
      </c>
      <c r="E6" s="10">
        <v>70</v>
      </c>
      <c r="F6" s="14"/>
      <c r="G6" s="2"/>
      <c r="H6" s="9" t="s">
        <v>6</v>
      </c>
      <c r="I6" s="2">
        <v>0.42899999999999999</v>
      </c>
      <c r="J6" s="10">
        <f t="shared" si="0"/>
        <v>42.9</v>
      </c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x14ac:dyDescent="0.3">
      <c r="A7" s="2"/>
      <c r="B7" s="2"/>
      <c r="C7" s="15" t="s">
        <v>21</v>
      </c>
      <c r="D7" s="52">
        <v>150</v>
      </c>
      <c r="E7" s="10">
        <v>100</v>
      </c>
      <c r="F7" s="14"/>
      <c r="G7" s="2"/>
      <c r="H7" s="9" t="s">
        <v>7</v>
      </c>
      <c r="I7" s="2">
        <v>0.32600000000000001</v>
      </c>
      <c r="J7" s="10">
        <f t="shared" si="0"/>
        <v>32.6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x14ac:dyDescent="0.3">
      <c r="A8" s="2"/>
      <c r="B8" s="2"/>
      <c r="C8" s="15" t="s">
        <v>22</v>
      </c>
      <c r="D8" s="52">
        <v>600</v>
      </c>
      <c r="E8" s="10">
        <v>600</v>
      </c>
      <c r="F8" s="14"/>
      <c r="G8" s="2"/>
      <c r="H8" s="9" t="s">
        <v>3</v>
      </c>
      <c r="I8" s="2">
        <v>0.155</v>
      </c>
      <c r="J8" s="10">
        <f t="shared" si="0"/>
        <v>15.5</v>
      </c>
      <c r="K8" s="2"/>
      <c r="L8" s="2"/>
      <c r="M8" s="2"/>
      <c r="N8" s="2"/>
      <c r="O8" s="2"/>
      <c r="P8" s="2"/>
      <c r="Q8" s="16"/>
      <c r="R8" s="2"/>
      <c r="S8" s="2"/>
      <c r="T8" s="2"/>
      <c r="U8" s="2"/>
      <c r="V8" s="2"/>
      <c r="W8" s="2"/>
      <c r="X8" s="2"/>
      <c r="Y8" s="2"/>
    </row>
    <row r="9" spans="1:25" x14ac:dyDescent="0.3">
      <c r="A9" s="2"/>
      <c r="B9" s="2"/>
      <c r="C9" s="15" t="s">
        <v>23</v>
      </c>
      <c r="D9" s="52">
        <v>300</v>
      </c>
      <c r="E9" s="10">
        <v>300</v>
      </c>
      <c r="F9" s="14"/>
      <c r="G9" s="2"/>
      <c r="H9" s="9" t="s">
        <v>8</v>
      </c>
      <c r="I9" s="2">
        <v>8.6599999999999993E-3</v>
      </c>
      <c r="J9" s="10">
        <f t="shared" si="0"/>
        <v>0.86599999999999988</v>
      </c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x14ac:dyDescent="0.3">
      <c r="A10" s="2"/>
      <c r="B10" s="2"/>
      <c r="C10" s="15" t="s">
        <v>24</v>
      </c>
      <c r="D10" s="52">
        <v>4500</v>
      </c>
      <c r="E10" s="10">
        <v>1500</v>
      </c>
      <c r="F10" s="2"/>
      <c r="G10" s="2"/>
      <c r="H10" s="9" t="s">
        <v>9</v>
      </c>
      <c r="I10" s="2">
        <v>0.05</v>
      </c>
      <c r="J10" s="10">
        <f t="shared" si="0"/>
        <v>5</v>
      </c>
      <c r="K10" s="2"/>
      <c r="L10" s="2"/>
      <c r="M10" s="2"/>
      <c r="N10" s="2"/>
      <c r="O10" s="2"/>
      <c r="P10" s="2"/>
      <c r="Q10" s="16"/>
      <c r="R10" s="2"/>
      <c r="S10" s="2"/>
      <c r="T10" s="2"/>
      <c r="U10" s="2"/>
      <c r="V10" s="2"/>
      <c r="W10" s="2"/>
      <c r="X10" s="2"/>
      <c r="Y10" s="2"/>
    </row>
    <row r="11" spans="1:25" x14ac:dyDescent="0.3">
      <c r="A11" s="2"/>
      <c r="B11" s="2"/>
      <c r="C11" s="20" t="s">
        <v>25</v>
      </c>
      <c r="D11" s="53">
        <v>10</v>
      </c>
      <c r="E11" s="19">
        <v>10</v>
      </c>
      <c r="F11" s="14"/>
      <c r="G11" s="2"/>
      <c r="H11" s="9" t="s">
        <v>27</v>
      </c>
      <c r="I11" s="2">
        <v>3.1290419999999999E-2</v>
      </c>
      <c r="J11" s="10">
        <f t="shared" si="0"/>
        <v>3.1290420000000001</v>
      </c>
      <c r="K11" s="2"/>
      <c r="L11" s="2"/>
      <c r="M11" s="2"/>
      <c r="N11" s="2"/>
      <c r="O11" s="2"/>
      <c r="P11" s="2"/>
      <c r="Q11" s="16"/>
      <c r="R11" s="2"/>
      <c r="S11" s="2"/>
      <c r="T11" s="2"/>
      <c r="U11" s="2"/>
      <c r="V11" s="2"/>
      <c r="W11" s="2"/>
      <c r="X11" s="2"/>
      <c r="Y11" s="2"/>
    </row>
    <row r="12" spans="1:25" x14ac:dyDescent="0.3">
      <c r="A12" s="2"/>
      <c r="B12" s="2"/>
      <c r="C12" s="21"/>
      <c r="D12" s="2"/>
      <c r="E12" s="2"/>
      <c r="F12" s="2"/>
      <c r="G12" s="2"/>
      <c r="H12" s="9" t="s">
        <v>10</v>
      </c>
      <c r="I12" s="2">
        <v>4.9579999999999996E-5</v>
      </c>
      <c r="J12" s="10">
        <f t="shared" si="0"/>
        <v>4.9579999999999997E-3</v>
      </c>
      <c r="K12" s="2"/>
      <c r="L12" s="2"/>
      <c r="M12" s="2"/>
      <c r="N12" s="2"/>
      <c r="O12" s="2"/>
      <c r="P12" s="2"/>
      <c r="Q12" s="16"/>
      <c r="R12" s="2"/>
      <c r="S12" s="2"/>
      <c r="T12" s="2"/>
      <c r="U12" s="2"/>
      <c r="V12" s="2"/>
      <c r="W12" s="2"/>
      <c r="X12" s="2"/>
      <c r="Y12" s="2"/>
    </row>
    <row r="13" spans="1:25" x14ac:dyDescent="0.3">
      <c r="A13" s="2"/>
      <c r="B13" s="2"/>
      <c r="C13" s="6" t="s">
        <v>26</v>
      </c>
      <c r="D13" s="7" t="s">
        <v>113</v>
      </c>
      <c r="E13" s="7" t="s">
        <v>114</v>
      </c>
      <c r="F13" s="8" t="s">
        <v>114</v>
      </c>
      <c r="G13" s="2"/>
      <c r="H13" s="17" t="s">
        <v>4</v>
      </c>
      <c r="I13" s="18">
        <f>SUM(I5:I12)</f>
        <v>1.0000000000000002</v>
      </c>
      <c r="J13" s="19">
        <f>SUM(J5:J12)</f>
        <v>100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x14ac:dyDescent="0.3">
      <c r="A14" s="2"/>
      <c r="B14" s="2"/>
      <c r="C14" s="11" t="s">
        <v>17</v>
      </c>
      <c r="D14" s="97">
        <v>1</v>
      </c>
      <c r="E14" s="23">
        <f>D14</f>
        <v>1</v>
      </c>
      <c r="F14" s="102">
        <f>D14</f>
        <v>1</v>
      </c>
      <c r="G14" s="2"/>
      <c r="H14" s="2"/>
      <c r="I14" s="2"/>
      <c r="J14" s="2"/>
      <c r="K14" s="22"/>
      <c r="L14" s="2"/>
      <c r="M14" s="2"/>
      <c r="N14" s="2"/>
      <c r="O14" s="2"/>
      <c r="P14" s="2"/>
      <c r="Q14" s="16"/>
      <c r="R14" s="2"/>
      <c r="S14" s="2"/>
      <c r="T14" s="2"/>
      <c r="U14" s="2"/>
      <c r="V14" s="2"/>
      <c r="W14" s="2"/>
      <c r="X14" s="2"/>
      <c r="Y14" s="2"/>
    </row>
    <row r="15" spans="1:25" x14ac:dyDescent="0.3">
      <c r="A15" s="2"/>
      <c r="B15" s="2"/>
      <c r="C15" s="15" t="s">
        <v>18</v>
      </c>
      <c r="D15" s="24">
        <v>7.0000000000000001E-3</v>
      </c>
      <c r="E15" s="24">
        <f>D15</f>
        <v>7.0000000000000001E-3</v>
      </c>
      <c r="F15" s="101">
        <f t="shared" ref="F15:F22" si="1">D15</f>
        <v>7.0000000000000001E-3</v>
      </c>
      <c r="G15" s="2"/>
      <c r="H15" s="2"/>
      <c r="I15" s="2"/>
      <c r="J15" s="2"/>
      <c r="K15" s="2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x14ac:dyDescent="0.3">
      <c r="A16" s="2"/>
      <c r="B16" s="2"/>
      <c r="C16" s="15" t="s">
        <v>19</v>
      </c>
      <c r="D16" s="23">
        <v>1.58</v>
      </c>
      <c r="E16" s="23">
        <f>D16</f>
        <v>1.58</v>
      </c>
      <c r="F16" s="102">
        <f>D16</f>
        <v>1.58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x14ac:dyDescent="0.3">
      <c r="A17" s="2"/>
      <c r="B17" s="2"/>
      <c r="C17" s="15" t="s">
        <v>20</v>
      </c>
      <c r="D17" s="23">
        <v>1</v>
      </c>
      <c r="E17" s="23">
        <f t="shared" ref="E17:E22" si="2">D17</f>
        <v>1</v>
      </c>
      <c r="F17" s="102">
        <f t="shared" si="1"/>
        <v>1</v>
      </c>
      <c r="G17" s="2"/>
      <c r="H17" s="2"/>
      <c r="I17" s="2"/>
      <c r="J17" s="2"/>
      <c r="K17" s="2"/>
      <c r="L17" s="2"/>
      <c r="M17" s="2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x14ac:dyDescent="0.3">
      <c r="A18" s="2"/>
      <c r="B18" s="2"/>
      <c r="C18" s="15" t="s">
        <v>21</v>
      </c>
      <c r="D18" s="23">
        <v>1</v>
      </c>
      <c r="E18" s="23">
        <f t="shared" si="2"/>
        <v>1</v>
      </c>
      <c r="F18" s="102">
        <f t="shared" si="1"/>
        <v>1</v>
      </c>
      <c r="G18" s="2"/>
      <c r="H18" s="2"/>
      <c r="I18" s="2"/>
      <c r="J18" s="2"/>
      <c r="K18" s="2"/>
      <c r="L18" s="2"/>
      <c r="M18" s="2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x14ac:dyDescent="0.3">
      <c r="A19" s="2"/>
      <c r="B19" s="2"/>
      <c r="C19" s="15" t="s">
        <v>22</v>
      </c>
      <c r="D19" s="23">
        <v>1</v>
      </c>
      <c r="E19" s="23">
        <f t="shared" si="2"/>
        <v>1</v>
      </c>
      <c r="F19" s="102">
        <f t="shared" si="1"/>
        <v>1</v>
      </c>
      <c r="G19" s="2"/>
      <c r="H19" s="2"/>
      <c r="I19" s="2"/>
      <c r="J19" s="2"/>
      <c r="K19" s="2"/>
      <c r="L19" s="2"/>
      <c r="M19" s="2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x14ac:dyDescent="0.3">
      <c r="A20" s="2"/>
      <c r="B20" s="2"/>
      <c r="C20" s="15" t="s">
        <v>23</v>
      </c>
      <c r="D20" s="23">
        <v>1</v>
      </c>
      <c r="E20" s="23">
        <f t="shared" si="2"/>
        <v>1</v>
      </c>
      <c r="F20" s="102">
        <f t="shared" si="1"/>
        <v>1</v>
      </c>
      <c r="G20" s="2"/>
      <c r="H20" s="2"/>
      <c r="I20" s="2"/>
      <c r="J20" s="2"/>
      <c r="K20" s="2"/>
      <c r="L20" s="2"/>
      <c r="M20" s="2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x14ac:dyDescent="0.3">
      <c r="A21" s="2"/>
      <c r="B21" s="2"/>
      <c r="C21" s="15" t="s">
        <v>24</v>
      </c>
      <c r="D21" s="23">
        <v>48</v>
      </c>
      <c r="E21" s="23">
        <f t="shared" si="2"/>
        <v>48</v>
      </c>
      <c r="F21" s="102">
        <f t="shared" si="1"/>
        <v>48</v>
      </c>
      <c r="G21" s="2"/>
      <c r="H21" s="2"/>
      <c r="I21" s="2"/>
      <c r="J21" s="2"/>
      <c r="K21" s="2"/>
      <c r="L21" s="2"/>
      <c r="M21" s="2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x14ac:dyDescent="0.3">
      <c r="A22" s="2"/>
      <c r="B22" s="2"/>
      <c r="C22" s="20" t="s">
        <v>25</v>
      </c>
      <c r="D22" s="98">
        <v>1</v>
      </c>
      <c r="E22" s="98">
        <f t="shared" si="2"/>
        <v>1</v>
      </c>
      <c r="F22" s="103">
        <f t="shared" si="1"/>
        <v>1</v>
      </c>
      <c r="G22" s="2"/>
      <c r="H22" s="2"/>
      <c r="I22" s="2"/>
      <c r="J22" s="2"/>
      <c r="K22" s="24"/>
      <c r="L22" s="24"/>
      <c r="M22" s="24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x14ac:dyDescent="0.3">
      <c r="A23" s="2"/>
      <c r="B23" s="2"/>
      <c r="C23" s="30"/>
      <c r="D23" s="31"/>
      <c r="E23" s="14"/>
      <c r="F23" s="2"/>
      <c r="G23" s="30"/>
      <c r="H23" s="2"/>
      <c r="I23" s="9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x14ac:dyDescent="0.3">
      <c r="A24" s="2"/>
      <c r="B24" s="2"/>
      <c r="C24" s="2"/>
      <c r="D24" s="2"/>
      <c r="E24" s="2"/>
      <c r="F24" s="2"/>
      <c r="G24" s="2"/>
      <c r="H24" s="2"/>
      <c r="I24" s="95"/>
      <c r="J24" s="2"/>
      <c r="K24" s="2"/>
      <c r="L24" s="2"/>
      <c r="M24" s="2"/>
      <c r="N24" s="2" t="s">
        <v>106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8" x14ac:dyDescent="0.4">
      <c r="A25" s="2"/>
      <c r="B25" s="2"/>
      <c r="C25" s="88" t="s">
        <v>102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43"/>
    </row>
    <row r="26" spans="1:25" x14ac:dyDescent="0.3">
      <c r="A26" s="2"/>
      <c r="B26" s="2"/>
      <c r="C26" s="32" t="s">
        <v>28</v>
      </c>
      <c r="D26" s="33"/>
      <c r="E26" s="33">
        <f>J31*I10*1000</f>
        <v>109.22850000000001</v>
      </c>
      <c r="F26" s="34" t="s">
        <v>29</v>
      </c>
      <c r="G26" s="2"/>
      <c r="H26" s="25" t="s">
        <v>0</v>
      </c>
      <c r="I26" s="12"/>
      <c r="J26" s="12">
        <f>1-0.783</f>
        <v>0.21699999999999997</v>
      </c>
      <c r="K26" s="26" t="s">
        <v>1</v>
      </c>
      <c r="L26" s="2"/>
      <c r="M26" s="2"/>
      <c r="N26" s="32" t="s">
        <v>40</v>
      </c>
      <c r="O26" s="54"/>
      <c r="P26" s="54">
        <f>J31*1000*I7</f>
        <v>712.16981999999996</v>
      </c>
      <c r="Q26" s="34" t="s">
        <v>29</v>
      </c>
      <c r="R26" s="2"/>
      <c r="S26" s="2"/>
      <c r="T26" s="2"/>
      <c r="U26" s="2"/>
      <c r="V26" s="2"/>
      <c r="W26" s="2"/>
      <c r="X26" s="2"/>
      <c r="Y26" s="47"/>
    </row>
    <row r="27" spans="1:25" x14ac:dyDescent="0.3">
      <c r="A27" s="2"/>
      <c r="B27" s="2"/>
      <c r="C27" s="35" t="s">
        <v>28</v>
      </c>
      <c r="D27" s="36"/>
      <c r="E27" s="37">
        <f>E26/1000</f>
        <v>0.10922850000000001</v>
      </c>
      <c r="F27" s="38" t="s">
        <v>13</v>
      </c>
      <c r="G27" s="2"/>
      <c r="H27" s="27" t="s">
        <v>33</v>
      </c>
      <c r="I27" s="2"/>
      <c r="J27" s="2">
        <v>1395</v>
      </c>
      <c r="K27" s="28" t="s">
        <v>14</v>
      </c>
      <c r="L27" s="2"/>
      <c r="M27" s="2"/>
      <c r="N27" s="35" t="s">
        <v>40</v>
      </c>
      <c r="O27" s="56"/>
      <c r="P27" s="56">
        <f>P26/1000</f>
        <v>0.71216981999999995</v>
      </c>
      <c r="Q27" s="38" t="s">
        <v>13</v>
      </c>
      <c r="R27" s="2"/>
      <c r="S27" s="2"/>
      <c r="T27" s="2"/>
      <c r="U27" s="2"/>
      <c r="V27" s="2"/>
      <c r="W27" s="2"/>
      <c r="X27" s="2"/>
      <c r="Y27" s="24"/>
    </row>
    <row r="28" spans="1:25" x14ac:dyDescent="0.3">
      <c r="A28" s="2"/>
      <c r="B28" s="2"/>
      <c r="C28" s="58" t="s">
        <v>30</v>
      </c>
      <c r="D28" s="37"/>
      <c r="E28" s="37">
        <f>3600*E27</f>
        <v>393.2226</v>
      </c>
      <c r="F28" s="39" t="s">
        <v>166</v>
      </c>
      <c r="G28" s="2"/>
      <c r="H28" s="27" t="s">
        <v>15</v>
      </c>
      <c r="I28" s="2"/>
      <c r="J28" s="95">
        <v>25</v>
      </c>
      <c r="K28" s="28" t="s">
        <v>16</v>
      </c>
      <c r="L28" s="2"/>
      <c r="M28" s="2"/>
      <c r="N28" s="35" t="s">
        <v>30</v>
      </c>
      <c r="O28" s="56"/>
      <c r="P28" s="56">
        <f>3600*P27</f>
        <v>2563.8113519999997</v>
      </c>
      <c r="Q28" s="39" t="s">
        <v>32</v>
      </c>
      <c r="R28" s="2"/>
      <c r="S28" s="2"/>
      <c r="T28" s="2"/>
      <c r="U28" s="2"/>
      <c r="V28" s="2"/>
      <c r="W28" s="2"/>
      <c r="X28" s="2"/>
      <c r="Y28" s="2"/>
    </row>
    <row r="29" spans="1:25" x14ac:dyDescent="0.3">
      <c r="A29" s="2"/>
      <c r="B29" s="2"/>
      <c r="C29" s="40" t="s">
        <v>31</v>
      </c>
      <c r="D29" s="41"/>
      <c r="E29" s="41">
        <f>E28*24</f>
        <v>9437.3423999999995</v>
      </c>
      <c r="F29" s="42" t="s">
        <v>167</v>
      </c>
      <c r="G29" s="2"/>
      <c r="H29" s="27" t="s">
        <v>15</v>
      </c>
      <c r="I29" s="2"/>
      <c r="J29" s="2">
        <f>J28*J27/1000</f>
        <v>34.875</v>
      </c>
      <c r="K29" s="28" t="s">
        <v>13</v>
      </c>
      <c r="L29" s="2"/>
      <c r="M29" s="2"/>
      <c r="N29" s="40" t="s">
        <v>31</v>
      </c>
      <c r="O29" s="41"/>
      <c r="P29" s="41">
        <f>P28*24</f>
        <v>61531.472447999993</v>
      </c>
      <c r="Q29" s="42" t="s">
        <v>32</v>
      </c>
      <c r="R29" s="2"/>
      <c r="S29" s="2"/>
      <c r="T29" s="2"/>
      <c r="U29" s="2"/>
      <c r="V29" s="2"/>
      <c r="W29" s="2"/>
      <c r="X29" s="2"/>
      <c r="Y29" s="2"/>
    </row>
    <row r="30" spans="1:25" ht="18" x14ac:dyDescent="0.4">
      <c r="A30" s="2"/>
      <c r="B30" s="2"/>
      <c r="C30" s="89" t="s">
        <v>103</v>
      </c>
      <c r="D30" s="7"/>
      <c r="E30" s="7"/>
      <c r="F30" s="8"/>
      <c r="G30" s="2"/>
      <c r="H30" s="44" t="s">
        <v>34</v>
      </c>
      <c r="I30" s="22"/>
      <c r="J30" s="90">
        <v>8</v>
      </c>
      <c r="K30" s="28" t="s">
        <v>11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x14ac:dyDescent="0.3">
      <c r="A31" s="2"/>
      <c r="B31" s="2"/>
      <c r="C31" s="50" t="s">
        <v>35</v>
      </c>
      <c r="D31" s="51"/>
      <c r="E31" s="12"/>
      <c r="F31" s="13"/>
      <c r="G31" s="2" t="s">
        <v>41</v>
      </c>
      <c r="H31" s="45" t="s">
        <v>34</v>
      </c>
      <c r="I31" s="46"/>
      <c r="J31" s="91">
        <f>($J$29-$J$29*$J$26)*($J$30/100)</f>
        <v>2.1845699999999999</v>
      </c>
      <c r="K31" s="29" t="s">
        <v>13</v>
      </c>
      <c r="L31" s="2"/>
      <c r="M31" s="2"/>
      <c r="N31" s="50" t="s">
        <v>35</v>
      </c>
      <c r="O31" s="51"/>
      <c r="P31" s="12"/>
      <c r="Q31" s="13"/>
      <c r="R31" s="2"/>
      <c r="S31" s="2"/>
      <c r="T31" s="2"/>
      <c r="U31" s="2"/>
      <c r="V31" s="2"/>
      <c r="W31" s="2"/>
      <c r="X31" s="2"/>
      <c r="Y31" s="2"/>
    </row>
    <row r="32" spans="1:25" x14ac:dyDescent="0.3">
      <c r="A32" s="2"/>
      <c r="B32" s="2"/>
      <c r="C32" s="27" t="s">
        <v>36</v>
      </c>
      <c r="D32" s="2"/>
      <c r="E32" s="2">
        <v>61</v>
      </c>
      <c r="F32" s="10" t="s">
        <v>11</v>
      </c>
      <c r="G32" s="2" t="s">
        <v>42</v>
      </c>
      <c r="H32" s="2"/>
      <c r="I32" s="2"/>
      <c r="J32" s="2"/>
      <c r="K32" s="2"/>
      <c r="L32" s="2"/>
      <c r="M32" s="2"/>
      <c r="N32" s="27" t="s">
        <v>36</v>
      </c>
      <c r="O32" s="2"/>
      <c r="P32" s="2">
        <v>76</v>
      </c>
      <c r="Q32" s="10" t="s">
        <v>11</v>
      </c>
      <c r="R32" s="2"/>
      <c r="S32" s="2"/>
      <c r="T32" s="2"/>
      <c r="U32" s="2"/>
      <c r="V32" s="2"/>
      <c r="W32" s="2"/>
      <c r="X32" s="2"/>
      <c r="Y32" s="2"/>
    </row>
    <row r="33" spans="1:25" x14ac:dyDescent="0.3">
      <c r="A33" s="2"/>
      <c r="B33" s="2"/>
      <c r="C33" s="27" t="s">
        <v>38</v>
      </c>
      <c r="D33" s="2"/>
      <c r="E33" s="2">
        <v>71</v>
      </c>
      <c r="F33" s="10" t="s">
        <v>11</v>
      </c>
      <c r="G33" s="2"/>
      <c r="H33" s="48" t="s">
        <v>44</v>
      </c>
      <c r="I33" s="12">
        <v>57.48</v>
      </c>
      <c r="J33" s="13" t="s">
        <v>11</v>
      </c>
      <c r="K33" s="2"/>
      <c r="L33" s="2"/>
      <c r="M33" s="2"/>
      <c r="N33" s="27" t="s">
        <v>38</v>
      </c>
      <c r="O33" s="2"/>
      <c r="P33" s="2">
        <v>84</v>
      </c>
      <c r="Q33" s="10" t="s">
        <v>11</v>
      </c>
      <c r="R33" s="2"/>
      <c r="S33" s="2"/>
      <c r="T33" s="2"/>
      <c r="U33" s="2"/>
      <c r="V33" s="2"/>
      <c r="W33" s="2"/>
      <c r="X33" s="2"/>
      <c r="Y33" s="2"/>
    </row>
    <row r="34" spans="1:25" x14ac:dyDescent="0.3">
      <c r="A34" s="2"/>
      <c r="B34" s="2"/>
      <c r="C34" s="27" t="s">
        <v>39</v>
      </c>
      <c r="D34" s="2"/>
      <c r="E34" s="2">
        <v>89</v>
      </c>
      <c r="F34" s="10" t="s">
        <v>11</v>
      </c>
      <c r="G34" s="2"/>
      <c r="H34" s="49" t="s">
        <v>47</v>
      </c>
      <c r="I34" s="18">
        <v>300</v>
      </c>
      <c r="J34" s="19" t="s">
        <v>48</v>
      </c>
      <c r="K34" s="2"/>
      <c r="L34" s="2"/>
      <c r="M34" s="2"/>
      <c r="N34" s="27" t="s">
        <v>39</v>
      </c>
      <c r="O34" s="2"/>
      <c r="P34" s="2">
        <v>90</v>
      </c>
      <c r="Q34" s="10" t="s">
        <v>11</v>
      </c>
      <c r="R34" s="2"/>
      <c r="S34" s="2"/>
      <c r="T34" s="2"/>
      <c r="U34" s="2"/>
      <c r="V34" s="2"/>
      <c r="W34" s="2"/>
      <c r="X34" s="2"/>
      <c r="Y34" s="2"/>
    </row>
    <row r="35" spans="1:25" x14ac:dyDescent="0.3">
      <c r="A35" s="2"/>
      <c r="B35" s="2"/>
      <c r="C35" s="27" t="s">
        <v>37</v>
      </c>
      <c r="D35" s="2"/>
      <c r="E35" s="2">
        <v>75</v>
      </c>
      <c r="F35" s="10" t="s">
        <v>11</v>
      </c>
      <c r="G35" s="2"/>
      <c r="H35" s="2"/>
      <c r="I35" s="2"/>
      <c r="J35" s="2"/>
      <c r="K35" s="2"/>
      <c r="L35" s="2"/>
      <c r="M35" s="2"/>
      <c r="N35" s="27" t="s">
        <v>37</v>
      </c>
      <c r="O35" s="2"/>
      <c r="P35" s="2">
        <v>70</v>
      </c>
      <c r="Q35" s="10" t="s">
        <v>11</v>
      </c>
      <c r="R35" s="2"/>
      <c r="S35" s="2"/>
      <c r="T35" s="2"/>
      <c r="U35" s="2"/>
      <c r="V35" s="2"/>
      <c r="W35" s="2"/>
      <c r="X35" s="2"/>
      <c r="Y35" s="2"/>
    </row>
    <row r="36" spans="1:25" x14ac:dyDescent="0.3">
      <c r="A36" s="2"/>
      <c r="B36" s="2"/>
      <c r="C36" s="49" t="s">
        <v>111</v>
      </c>
      <c r="D36" s="18"/>
      <c r="E36" s="18">
        <v>82</v>
      </c>
      <c r="F36" s="19" t="s">
        <v>11</v>
      </c>
      <c r="G36" s="2"/>
      <c r="H36" s="2"/>
      <c r="I36" s="2"/>
      <c r="J36" s="2"/>
      <c r="K36" s="2"/>
      <c r="L36" s="2"/>
      <c r="M36" s="2"/>
      <c r="N36" s="49" t="s">
        <v>111</v>
      </c>
      <c r="O36" s="18"/>
      <c r="P36" s="18">
        <v>97</v>
      </c>
      <c r="Q36" s="19" t="s">
        <v>11</v>
      </c>
      <c r="R36" s="2"/>
      <c r="S36" s="2"/>
      <c r="T36" s="2"/>
      <c r="U36" s="2"/>
      <c r="V36" s="2"/>
      <c r="W36" s="2"/>
      <c r="X36" s="2"/>
      <c r="Y36" s="2"/>
    </row>
    <row r="37" spans="1:25" x14ac:dyDescent="0.3">
      <c r="A37" s="2"/>
      <c r="B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x14ac:dyDescent="0.3">
      <c r="A38" s="2"/>
      <c r="B38" s="2"/>
      <c r="C38" s="50" t="s">
        <v>35</v>
      </c>
      <c r="D38" s="51"/>
      <c r="E38" s="12"/>
      <c r="F38" s="13"/>
      <c r="G38" s="2"/>
      <c r="H38" s="48" t="s">
        <v>57</v>
      </c>
      <c r="I38" s="12">
        <v>660</v>
      </c>
      <c r="J38" s="13" t="s">
        <v>48</v>
      </c>
      <c r="K38" s="2" t="s">
        <v>56</v>
      </c>
      <c r="L38" s="2"/>
      <c r="M38" s="2"/>
      <c r="N38" s="50" t="s">
        <v>43</v>
      </c>
      <c r="O38" s="51"/>
      <c r="P38" s="51"/>
      <c r="Q38" s="13"/>
      <c r="R38" s="2"/>
      <c r="S38" s="2"/>
      <c r="T38" s="2"/>
      <c r="U38" s="2"/>
      <c r="V38" s="2"/>
      <c r="W38" s="2"/>
      <c r="X38" s="2"/>
      <c r="Y38" s="2"/>
    </row>
    <row r="39" spans="1:25" x14ac:dyDescent="0.3">
      <c r="A39" s="2"/>
      <c r="B39" s="2"/>
      <c r="C39" s="27" t="s">
        <v>36</v>
      </c>
      <c r="E39" s="52">
        <f>$E$29*E32%</f>
        <v>5756.7788639999999</v>
      </c>
      <c r="F39" s="10" t="s">
        <v>32</v>
      </c>
      <c r="G39" s="2"/>
      <c r="H39" s="27" t="s">
        <v>82</v>
      </c>
      <c r="I39" s="2">
        <v>349</v>
      </c>
      <c r="J39" s="10" t="s">
        <v>48</v>
      </c>
      <c r="K39" s="2" t="s">
        <v>143</v>
      </c>
      <c r="L39" s="2"/>
      <c r="M39" s="2"/>
      <c r="N39" s="27" t="s">
        <v>36</v>
      </c>
      <c r="O39" s="2"/>
      <c r="P39" s="52">
        <f>$P$29*P32%</f>
        <v>46763.919060479995</v>
      </c>
      <c r="Q39" s="10" t="s">
        <v>32</v>
      </c>
      <c r="R39" s="2"/>
      <c r="S39" s="2"/>
      <c r="T39" s="2"/>
      <c r="U39" s="2"/>
      <c r="V39" s="2"/>
      <c r="W39" s="2"/>
      <c r="X39" s="2"/>
      <c r="Y39" s="2"/>
    </row>
    <row r="40" spans="1:25" x14ac:dyDescent="0.3">
      <c r="A40" s="2"/>
      <c r="B40" s="2"/>
      <c r="C40" s="27" t="s">
        <v>38</v>
      </c>
      <c r="D40" s="2"/>
      <c r="E40" s="52">
        <f>$E$29*E33%</f>
        <v>6700.5131039999997</v>
      </c>
      <c r="F40" s="10" t="s">
        <v>32</v>
      </c>
      <c r="G40" s="2"/>
      <c r="H40" s="27" t="s">
        <v>83</v>
      </c>
      <c r="I40" s="2">
        <v>1338</v>
      </c>
      <c r="J40" s="10" t="s">
        <v>48</v>
      </c>
      <c r="K40" s="2" t="s">
        <v>84</v>
      </c>
      <c r="L40" s="2"/>
      <c r="M40" s="2"/>
      <c r="N40" s="27" t="s">
        <v>38</v>
      </c>
      <c r="O40" s="2"/>
      <c r="P40" s="52">
        <f>$P$29*P33%</f>
        <v>51686.43685631999</v>
      </c>
      <c r="Q40" s="10" t="s">
        <v>32</v>
      </c>
      <c r="R40" s="2"/>
      <c r="S40" s="2"/>
      <c r="T40" s="2"/>
      <c r="U40" s="2"/>
      <c r="V40" s="2"/>
      <c r="W40" s="2"/>
      <c r="X40" s="2"/>
      <c r="Y40" s="2"/>
    </row>
    <row r="41" spans="1:25" x14ac:dyDescent="0.3">
      <c r="A41" s="2"/>
      <c r="B41" s="2"/>
      <c r="C41" s="27" t="s">
        <v>39</v>
      </c>
      <c r="D41" s="2"/>
      <c r="E41" s="52">
        <f>$E$29*E34%</f>
        <v>8399.2347360000003</v>
      </c>
      <c r="F41" s="10" t="s">
        <v>32</v>
      </c>
      <c r="G41" s="2"/>
      <c r="H41" s="49" t="s">
        <v>85</v>
      </c>
      <c r="I41" s="18">
        <v>814</v>
      </c>
      <c r="J41" s="19" t="s">
        <v>48</v>
      </c>
      <c r="K41" s="2" t="s">
        <v>142</v>
      </c>
      <c r="L41" s="2"/>
      <c r="M41" s="2"/>
      <c r="N41" s="27" t="s">
        <v>39</v>
      </c>
      <c r="O41" s="2"/>
      <c r="P41" s="52">
        <f>$P$29*P34%</f>
        <v>55378.325203199995</v>
      </c>
      <c r="Q41" s="10" t="s">
        <v>32</v>
      </c>
      <c r="R41" s="2"/>
      <c r="S41" s="2"/>
      <c r="T41" s="2"/>
      <c r="U41" s="2"/>
      <c r="V41" s="2"/>
      <c r="W41" s="2"/>
      <c r="X41" s="2"/>
      <c r="Y41" s="2"/>
    </row>
    <row r="42" spans="1:25" x14ac:dyDescent="0.3">
      <c r="A42" s="2"/>
      <c r="B42" s="2"/>
      <c r="C42" s="27" t="s">
        <v>37</v>
      </c>
      <c r="D42" s="2"/>
      <c r="E42" s="52">
        <f>$E$29*E35%</f>
        <v>7078.0067999999992</v>
      </c>
      <c r="F42" s="10" t="s">
        <v>32</v>
      </c>
      <c r="G42" s="2"/>
      <c r="H42" s="2"/>
      <c r="I42" s="2"/>
      <c r="J42" s="2"/>
      <c r="K42" s="2"/>
      <c r="L42" s="2"/>
      <c r="M42" s="2"/>
      <c r="N42" s="27" t="s">
        <v>37</v>
      </c>
      <c r="O42" s="2"/>
      <c r="P42" s="52">
        <f>$P$29*P35%</f>
        <v>43072.03071359999</v>
      </c>
      <c r="Q42" s="10" t="s">
        <v>32</v>
      </c>
      <c r="R42" s="2"/>
      <c r="S42" s="2"/>
      <c r="T42" s="2"/>
      <c r="U42" s="2"/>
      <c r="V42" s="2"/>
      <c r="W42" s="2"/>
      <c r="X42" s="2"/>
      <c r="Y42" s="2"/>
    </row>
    <row r="43" spans="1:25" x14ac:dyDescent="0.3">
      <c r="A43" s="2"/>
      <c r="B43" s="2"/>
      <c r="C43" s="49" t="s">
        <v>111</v>
      </c>
      <c r="D43" s="18"/>
      <c r="E43" s="53">
        <f>$E$29*E36%</f>
        <v>7738.6207679999989</v>
      </c>
      <c r="F43" s="19" t="s">
        <v>32</v>
      </c>
      <c r="G43" s="2"/>
      <c r="H43" s="2"/>
      <c r="I43" s="2"/>
      <c r="J43" s="2"/>
      <c r="K43" s="2"/>
      <c r="L43" s="2"/>
      <c r="M43" s="2"/>
      <c r="N43" s="49" t="s">
        <v>111</v>
      </c>
      <c r="O43" s="18"/>
      <c r="P43" s="53">
        <f>$P$29*P36%</f>
        <v>59685.528274559991</v>
      </c>
      <c r="Q43" s="19" t="s">
        <v>32</v>
      </c>
      <c r="R43" s="2"/>
      <c r="S43" s="2"/>
      <c r="T43" s="2"/>
      <c r="U43" s="2"/>
      <c r="V43" s="2"/>
      <c r="W43" s="2"/>
      <c r="X43" s="2"/>
      <c r="Y43" s="2"/>
    </row>
    <row r="44" spans="1:25" ht="18" x14ac:dyDescent="0.4">
      <c r="A44" s="2"/>
      <c r="B44" s="2"/>
      <c r="C44" s="88" t="s">
        <v>104</v>
      </c>
      <c r="D44" s="2"/>
      <c r="E44" s="2"/>
      <c r="F44" s="2"/>
      <c r="G44" s="2"/>
      <c r="H44" s="88" t="s">
        <v>105</v>
      </c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x14ac:dyDescent="0.3">
      <c r="A45" s="2"/>
      <c r="B45" s="2"/>
      <c r="C45" s="50" t="s">
        <v>50</v>
      </c>
      <c r="D45" s="12"/>
      <c r="E45" s="12"/>
      <c r="F45" s="13"/>
      <c r="G45" s="2"/>
      <c r="H45" s="48" t="s">
        <v>154</v>
      </c>
      <c r="I45" s="12"/>
      <c r="J45" s="13"/>
      <c r="K45" s="13" t="s">
        <v>155</v>
      </c>
      <c r="L45" s="2"/>
      <c r="M45" s="2"/>
      <c r="N45" s="50" t="s">
        <v>45</v>
      </c>
      <c r="O45" s="51"/>
      <c r="P45" s="12"/>
      <c r="Q45" s="13"/>
      <c r="R45" s="2"/>
      <c r="S45" s="2"/>
      <c r="T45" s="2"/>
      <c r="U45" s="2"/>
      <c r="V45" s="2"/>
      <c r="W45" s="2"/>
      <c r="X45" s="2"/>
      <c r="Y45" s="2"/>
    </row>
    <row r="46" spans="1:25" x14ac:dyDescent="0.3">
      <c r="A46" s="2"/>
      <c r="B46" s="2"/>
      <c r="C46" s="27" t="s">
        <v>51</v>
      </c>
      <c r="D46" s="2"/>
      <c r="E46" s="2">
        <v>32.799999999999997</v>
      </c>
      <c r="F46" s="10" t="s">
        <v>11</v>
      </c>
      <c r="G46" s="2"/>
      <c r="H46" s="27" t="s">
        <v>88</v>
      </c>
      <c r="I46" s="2">
        <v>0</v>
      </c>
      <c r="J46" s="10" t="s">
        <v>11</v>
      </c>
      <c r="K46" s="10">
        <f>(39.098+15.99+1.0079)/1000</f>
        <v>5.6095899999999997E-2</v>
      </c>
      <c r="L46" s="2"/>
      <c r="M46" s="2"/>
      <c r="N46" s="27" t="s">
        <v>36</v>
      </c>
      <c r="O46" s="2"/>
      <c r="P46" s="52">
        <f>P39/$I$33%/1000</f>
        <v>81.356852923590807</v>
      </c>
      <c r="Q46" s="10" t="s">
        <v>49</v>
      </c>
      <c r="R46" s="2"/>
      <c r="S46" s="2"/>
      <c r="T46" s="2"/>
      <c r="U46" s="2"/>
      <c r="V46" s="2"/>
      <c r="W46" s="2"/>
      <c r="X46" s="2"/>
      <c r="Y46" s="2"/>
    </row>
    <row r="47" spans="1:25" x14ac:dyDescent="0.3">
      <c r="A47" s="2"/>
      <c r="B47" s="2"/>
      <c r="C47" s="27" t="s">
        <v>52</v>
      </c>
      <c r="D47" s="2"/>
      <c r="E47" s="2">
        <f>2*E46</f>
        <v>65.599999999999994</v>
      </c>
      <c r="F47" s="10" t="s">
        <v>11</v>
      </c>
      <c r="G47" s="2" t="s">
        <v>59</v>
      </c>
      <c r="H47" s="27" t="s">
        <v>89</v>
      </c>
      <c r="I47" s="2">
        <v>1.5</v>
      </c>
      <c r="J47" s="10" t="s">
        <v>11</v>
      </c>
      <c r="K47" s="10">
        <f>(39.098+35.45)/1000</f>
        <v>7.4548000000000003E-2</v>
      </c>
      <c r="L47" s="2"/>
      <c r="M47" s="2"/>
      <c r="N47" s="27" t="s">
        <v>38</v>
      </c>
      <c r="O47" s="2"/>
      <c r="P47" s="52">
        <f>P40/$I$33%/1000</f>
        <v>89.920732178705634</v>
      </c>
      <c r="Q47" s="10" t="s">
        <v>49</v>
      </c>
      <c r="R47" s="2"/>
      <c r="S47" s="2"/>
      <c r="T47" s="2"/>
      <c r="U47" s="2"/>
      <c r="V47" s="2"/>
      <c r="W47" s="2"/>
      <c r="X47" s="2"/>
      <c r="Y47" s="2"/>
    </row>
    <row r="48" spans="1:25" x14ac:dyDescent="0.3">
      <c r="A48" s="2"/>
      <c r="B48" s="2"/>
      <c r="C48" s="27" t="s">
        <v>121</v>
      </c>
      <c r="D48" s="2"/>
      <c r="E48" s="2">
        <v>88.2</v>
      </c>
      <c r="F48" s="10" t="s">
        <v>11</v>
      </c>
      <c r="G48" s="2" t="s">
        <v>60</v>
      </c>
      <c r="H48" s="27" t="s">
        <v>90</v>
      </c>
      <c r="I48" s="1">
        <v>25.1</v>
      </c>
      <c r="J48" s="10" t="s">
        <v>11</v>
      </c>
      <c r="K48" s="10">
        <f>(2*39.098+12.011+3*15.999)/1000</f>
        <v>0.13820400000000002</v>
      </c>
      <c r="L48" s="2"/>
      <c r="M48" s="2"/>
      <c r="N48" s="27" t="s">
        <v>39</v>
      </c>
      <c r="O48" s="2"/>
      <c r="P48" s="52">
        <f>P41/$I$33%/1000</f>
        <v>96.343641620041751</v>
      </c>
      <c r="Q48" s="10" t="s">
        <v>49</v>
      </c>
      <c r="R48" s="2"/>
      <c r="S48" s="2"/>
      <c r="T48" s="2"/>
      <c r="U48" s="2"/>
      <c r="V48" s="2"/>
      <c r="W48" s="2"/>
      <c r="X48" s="2"/>
      <c r="Y48" s="2"/>
    </row>
    <row r="49" spans="1:25" x14ac:dyDescent="0.3">
      <c r="A49" s="2"/>
      <c r="B49" s="2"/>
      <c r="C49" s="49" t="s">
        <v>61</v>
      </c>
      <c r="D49" s="18"/>
      <c r="E49" s="18">
        <v>95.37</v>
      </c>
      <c r="F49" s="19" t="s">
        <v>11</v>
      </c>
      <c r="G49" s="2"/>
      <c r="H49" s="49" t="s">
        <v>91</v>
      </c>
      <c r="I49" s="18">
        <v>73.400000000000006</v>
      </c>
      <c r="J49" s="19" t="s">
        <v>11</v>
      </c>
      <c r="K49" s="19">
        <f>(2*39.098+32.06+4*15.999)/1000</f>
        <v>0.17425200000000002</v>
      </c>
      <c r="L49" s="2"/>
      <c r="M49" s="2"/>
      <c r="N49" s="27" t="s">
        <v>37</v>
      </c>
      <c r="O49" s="2"/>
      <c r="P49" s="52">
        <f>P42/$I$33%/1000</f>
        <v>74.933943482254691</v>
      </c>
      <c r="Q49" s="10" t="s">
        <v>49</v>
      </c>
      <c r="R49" s="2"/>
      <c r="S49" s="2"/>
      <c r="T49" s="2"/>
      <c r="U49" s="2"/>
      <c r="V49" s="2"/>
      <c r="W49" s="2"/>
      <c r="X49" s="2"/>
      <c r="Y49" s="2"/>
    </row>
    <row r="50" spans="1:25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49" t="s">
        <v>111</v>
      </c>
      <c r="O50" s="18"/>
      <c r="P50" s="53">
        <f>P43/$I$33%/1000</f>
        <v>103.83703596826722</v>
      </c>
      <c r="Q50" s="19" t="s">
        <v>49</v>
      </c>
      <c r="R50" s="2"/>
      <c r="S50" s="2"/>
      <c r="T50" s="2"/>
      <c r="U50" s="2"/>
      <c r="V50" s="2"/>
      <c r="W50" s="2"/>
      <c r="X50" s="2"/>
      <c r="Y50" s="2"/>
    </row>
    <row r="51" spans="1:25" x14ac:dyDescent="0.3">
      <c r="A51" s="2"/>
      <c r="B51" s="2"/>
      <c r="C51" s="2"/>
      <c r="D51" s="2"/>
      <c r="E51" s="2"/>
      <c r="F51" s="2"/>
      <c r="G51" s="2"/>
      <c r="H51" s="48" t="s">
        <v>157</v>
      </c>
      <c r="I51" s="12" t="s">
        <v>156</v>
      </c>
      <c r="J51" s="13" t="s">
        <v>160</v>
      </c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x14ac:dyDescent="0.3">
      <c r="A52" s="2"/>
      <c r="B52" s="2"/>
      <c r="C52" s="2"/>
      <c r="D52" s="2"/>
      <c r="E52" s="2"/>
      <c r="F52" s="2"/>
      <c r="G52" s="2"/>
      <c r="H52" s="27" t="s">
        <v>88</v>
      </c>
      <c r="I52" s="2">
        <f>I46*$E$29/100</f>
        <v>0</v>
      </c>
      <c r="J52" s="10">
        <f>(39.098/1000)/K46</f>
        <v>0.69698498464237146</v>
      </c>
      <c r="K52" s="2"/>
      <c r="L52" s="2"/>
      <c r="M52" s="2"/>
      <c r="N52" s="50" t="s">
        <v>45</v>
      </c>
      <c r="O52" s="51"/>
      <c r="P52" s="12"/>
      <c r="Q52" s="13"/>
      <c r="R52" s="2"/>
      <c r="S52" s="2"/>
      <c r="T52" s="2"/>
      <c r="U52" s="2"/>
      <c r="V52" s="2"/>
      <c r="W52" s="2"/>
      <c r="X52" s="2"/>
      <c r="Y52" s="2"/>
    </row>
    <row r="53" spans="1:25" x14ac:dyDescent="0.3">
      <c r="A53" s="2"/>
      <c r="B53" s="2"/>
      <c r="C53" s="2"/>
      <c r="D53" s="2"/>
      <c r="E53" s="2"/>
      <c r="F53" s="2"/>
      <c r="G53" s="2"/>
      <c r="H53" s="27" t="s">
        <v>89</v>
      </c>
      <c r="I53" s="2">
        <f t="shared" ref="I53" si="3">I47*$E$29/100</f>
        <v>141.56013599999997</v>
      </c>
      <c r="J53" s="10">
        <f t="shared" ref="J53" si="4">(39.098/1000)/K47</f>
        <v>0.52446745720877819</v>
      </c>
      <c r="K53" s="2"/>
      <c r="L53" s="2"/>
      <c r="M53" s="2"/>
      <c r="N53" s="27" t="s">
        <v>36</v>
      </c>
      <c r="O53" s="2"/>
      <c r="P53" s="52">
        <f>$I$34*P46</f>
        <v>24407.05587707724</v>
      </c>
      <c r="Q53" s="10" t="s">
        <v>46</v>
      </c>
      <c r="R53" s="2"/>
      <c r="S53" s="2"/>
      <c r="T53" s="2"/>
      <c r="U53" s="2"/>
      <c r="V53" s="2"/>
      <c r="W53" s="2"/>
      <c r="X53" s="2"/>
      <c r="Y53" s="2"/>
    </row>
    <row r="54" spans="1:25" x14ac:dyDescent="0.3">
      <c r="A54" s="2"/>
      <c r="B54" s="2"/>
      <c r="C54" s="2"/>
      <c r="D54" s="2"/>
      <c r="E54" s="2"/>
      <c r="F54" s="2"/>
      <c r="G54" s="2"/>
      <c r="H54" s="27" t="s">
        <v>90</v>
      </c>
      <c r="I54" s="2">
        <f>I48*$E$29/100</f>
        <v>2368.7729423999999</v>
      </c>
      <c r="J54" s="10">
        <f>(2*39.098/1000)/K48</f>
        <v>0.56580127926832791</v>
      </c>
      <c r="K54" s="2"/>
      <c r="L54" s="2"/>
      <c r="M54" s="2"/>
      <c r="N54" s="27" t="s">
        <v>38</v>
      </c>
      <c r="O54" s="2"/>
      <c r="P54" s="52">
        <f>$I$34*P47</f>
        <v>26976.21965361169</v>
      </c>
      <c r="Q54" s="10" t="s">
        <v>46</v>
      </c>
      <c r="R54" s="2"/>
      <c r="S54" s="2"/>
      <c r="T54" s="2"/>
      <c r="U54" s="2"/>
      <c r="V54" s="2"/>
      <c r="W54" s="2"/>
      <c r="X54" s="2"/>
      <c r="Y54" s="2"/>
    </row>
    <row r="55" spans="1:25" x14ac:dyDescent="0.3">
      <c r="A55" s="2"/>
      <c r="B55" s="2"/>
      <c r="C55" s="2"/>
      <c r="D55" s="2"/>
      <c r="E55" s="2"/>
      <c r="F55" s="2"/>
      <c r="G55" s="2"/>
      <c r="H55" s="49" t="s">
        <v>91</v>
      </c>
      <c r="I55" s="18">
        <f>I49*$E$29/100</f>
        <v>6927.0093215999996</v>
      </c>
      <c r="J55" s="19">
        <f>(2*39.098/1000)/K49</f>
        <v>0.44875238160824549</v>
      </c>
      <c r="K55" s="2"/>
      <c r="L55" s="2"/>
      <c r="M55" s="2"/>
      <c r="N55" s="27" t="s">
        <v>39</v>
      </c>
      <c r="O55" s="2"/>
      <c r="P55" s="52">
        <f>$I$34*P48</f>
        <v>28903.092486012527</v>
      </c>
      <c r="Q55" s="10" t="s">
        <v>46</v>
      </c>
      <c r="R55" s="2"/>
      <c r="S55" s="2"/>
      <c r="T55" s="2"/>
      <c r="U55" s="2"/>
      <c r="V55" s="2"/>
      <c r="W55" s="2"/>
      <c r="X55" s="2"/>
      <c r="Y55" s="2"/>
    </row>
    <row r="56" spans="1:25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7" t="s">
        <v>37</v>
      </c>
      <c r="O56" s="2"/>
      <c r="P56" s="52">
        <f>$I$34*P49</f>
        <v>22480.183044676407</v>
      </c>
      <c r="Q56" s="10" t="s">
        <v>46</v>
      </c>
      <c r="R56" s="2"/>
      <c r="S56" s="2"/>
      <c r="T56" s="2"/>
      <c r="U56" s="2"/>
      <c r="V56" s="2"/>
      <c r="W56" s="2"/>
      <c r="X56" s="2"/>
      <c r="Y56" s="2"/>
    </row>
    <row r="57" spans="1:25" x14ac:dyDescent="0.3">
      <c r="A57" s="2"/>
      <c r="B57" s="2"/>
      <c r="C57" s="2"/>
      <c r="D57" s="2"/>
      <c r="E57" s="2"/>
      <c r="F57" s="2"/>
      <c r="G57" s="2"/>
      <c r="H57" s="2"/>
      <c r="I57" s="47"/>
      <c r="J57" s="2"/>
      <c r="K57" s="2"/>
      <c r="L57" s="2"/>
      <c r="M57" s="2"/>
      <c r="N57" s="49" t="s">
        <v>111</v>
      </c>
      <c r="O57" s="18"/>
      <c r="P57" s="53">
        <f>$I$34*P50</f>
        <v>31151.110790480165</v>
      </c>
      <c r="Q57" s="19" t="s">
        <v>46</v>
      </c>
      <c r="R57" s="2"/>
      <c r="S57" s="2"/>
      <c r="T57" s="2"/>
      <c r="U57" s="2"/>
      <c r="V57" s="2"/>
      <c r="W57" s="2"/>
      <c r="X57" s="2"/>
      <c r="Y57" s="2"/>
    </row>
    <row r="58" spans="1:25" x14ac:dyDescent="0.3">
      <c r="A58" s="2"/>
      <c r="B58" s="2"/>
      <c r="C58" s="2"/>
      <c r="D58" s="2"/>
      <c r="E58" s="2"/>
      <c r="F58" s="2"/>
      <c r="G58" s="2"/>
      <c r="H58" s="48" t="s">
        <v>158</v>
      </c>
      <c r="I58" s="123" t="s">
        <v>159</v>
      </c>
      <c r="J58" s="13" t="s">
        <v>161</v>
      </c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x14ac:dyDescent="0.3">
      <c r="A59" s="2"/>
      <c r="B59" s="2"/>
      <c r="C59" s="2"/>
      <c r="D59" s="2"/>
      <c r="E59" s="2"/>
      <c r="F59" s="2"/>
      <c r="G59" s="2"/>
      <c r="H59" s="27" t="s">
        <v>88</v>
      </c>
      <c r="I59" s="52">
        <f>I52/J52</f>
        <v>0</v>
      </c>
      <c r="J59" s="10">
        <f>I59/$I$63</f>
        <v>0</v>
      </c>
      <c r="K59" s="2"/>
      <c r="L59" s="2"/>
      <c r="M59" s="2"/>
      <c r="N59" s="2"/>
      <c r="O59" s="2"/>
      <c r="P59" s="2"/>
      <c r="Q59" s="2"/>
      <c r="R59" s="2"/>
      <c r="S59" s="2"/>
      <c r="T59" s="52"/>
      <c r="U59" s="52"/>
      <c r="V59" s="2"/>
      <c r="W59" s="2"/>
      <c r="X59" s="2"/>
      <c r="Y59" s="2"/>
    </row>
    <row r="60" spans="1:25" x14ac:dyDescent="0.3">
      <c r="A60" s="2"/>
      <c r="B60" s="2"/>
      <c r="C60" s="2"/>
      <c r="D60" s="2"/>
      <c r="E60" s="2"/>
      <c r="F60" s="2"/>
      <c r="G60" s="2"/>
      <c r="H60" s="27" t="s">
        <v>89</v>
      </c>
      <c r="I60" s="52">
        <f t="shared" ref="I60:I62" si="5">I53/J53</f>
        <v>269.91214431756094</v>
      </c>
      <c r="J60" s="10">
        <f>I60/$I$63</f>
        <v>1.3568440028361438E-2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x14ac:dyDescent="0.3">
      <c r="A61" s="2"/>
      <c r="B61" s="2"/>
      <c r="C61" s="2"/>
      <c r="D61" s="2"/>
      <c r="E61" s="2"/>
      <c r="F61" s="2"/>
      <c r="G61" s="2"/>
      <c r="H61" s="27" t="s">
        <v>90</v>
      </c>
      <c r="I61" s="52">
        <f t="shared" si="5"/>
        <v>4186.5811004584584</v>
      </c>
      <c r="J61" s="10">
        <f t="shared" ref="J61:J62" si="6">I61/$I$63</f>
        <v>0.21045875771565337</v>
      </c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x14ac:dyDescent="0.3">
      <c r="A62" s="2"/>
      <c r="B62" s="2"/>
      <c r="C62" s="2"/>
      <c r="D62" s="2"/>
      <c r="E62" s="2"/>
      <c r="F62" s="2"/>
      <c r="G62" s="2"/>
      <c r="H62" s="27" t="s">
        <v>91</v>
      </c>
      <c r="I62" s="52">
        <f t="shared" si="5"/>
        <v>15436.1505487166</v>
      </c>
      <c r="J62" s="10">
        <f t="shared" si="6"/>
        <v>0.77597280225598531</v>
      </c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x14ac:dyDescent="0.3">
      <c r="A63" s="2"/>
      <c r="B63" s="2"/>
      <c r="C63" s="2"/>
      <c r="D63" s="2"/>
      <c r="E63" s="2"/>
      <c r="F63" s="2"/>
      <c r="G63" s="2"/>
      <c r="H63" s="49" t="s">
        <v>78</v>
      </c>
      <c r="I63" s="53">
        <f>SUM(I59:I62)</f>
        <v>19892.643793492618</v>
      </c>
      <c r="J63" s="122">
        <f>SUM(J59:J62)</f>
        <v>1</v>
      </c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6" x14ac:dyDescent="0.3">
      <c r="A65" s="2"/>
      <c r="B65" s="2"/>
      <c r="C65" s="55" t="s">
        <v>53</v>
      </c>
      <c r="D65" s="54"/>
      <c r="E65" s="54"/>
      <c r="F65" s="57"/>
      <c r="G65" s="2"/>
      <c r="H65" s="75" t="s">
        <v>57</v>
      </c>
      <c r="I65" s="76" t="s">
        <v>82</v>
      </c>
      <c r="J65" s="76" t="s">
        <v>83</v>
      </c>
      <c r="K65" s="76" t="s">
        <v>85</v>
      </c>
      <c r="L65" s="83" t="s">
        <v>92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6" x14ac:dyDescent="0.3">
      <c r="A66" s="2"/>
      <c r="B66" s="2"/>
      <c r="C66" s="27" t="str">
        <f>C46</f>
        <v>MER zeolite membrane</v>
      </c>
      <c r="D66" s="2"/>
      <c r="E66" s="52">
        <f>E46/100*$E$39</f>
        <v>1888.2234673919997</v>
      </c>
      <c r="F66" s="10" t="s">
        <v>32</v>
      </c>
      <c r="G66" s="2"/>
      <c r="H66" s="77">
        <f>E66/1000*$I$46/100/$J$53*$I$38</f>
        <v>0</v>
      </c>
      <c r="I66" s="78">
        <f>E66/1000*$I$47/100/$J$53*$I$39</f>
        <v>18.847403620435106</v>
      </c>
      <c r="J66" s="78">
        <f>E66/1000*$I$48/100/$J$54*$I$40</f>
        <v>1120.7772341236766</v>
      </c>
      <c r="K66" s="78">
        <f>E66/1000*$I$49/100/$J$55*$I$41</f>
        <v>2514.0105114547951</v>
      </c>
      <c r="L66" s="84">
        <f>SUM(H66:K66)</f>
        <v>3653.6351491989071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6" x14ac:dyDescent="0.3">
      <c r="A67" s="2"/>
      <c r="B67" s="2"/>
      <c r="C67" s="27" t="str">
        <f>C47</f>
        <v>MER zeolite membrane *</v>
      </c>
      <c r="D67" s="2"/>
      <c r="E67" s="52">
        <f>E47/100*$E$39</f>
        <v>3776.4469347839995</v>
      </c>
      <c r="F67" s="10" t="s">
        <v>32</v>
      </c>
      <c r="G67" s="2"/>
      <c r="H67" s="77">
        <f t="shared" ref="H67:H68" si="7">E67/1000*$I$46/100/$J$53*$I$38</f>
        <v>0</v>
      </c>
      <c r="I67" s="78">
        <f t="shared" ref="I67:I69" si="8">E67/1000*$I$47/100/$J$53*$I$39</f>
        <v>37.694807240870212</v>
      </c>
      <c r="J67" s="78">
        <f t="shared" ref="J67:J69" si="9">E67/1000*$I$48/100/$J$54*$I$40</f>
        <v>2241.5544682473533</v>
      </c>
      <c r="K67" s="78">
        <f t="shared" ref="K67:K69" si="10">E67/1000*$I$49/100/$J$55*$I$41</f>
        <v>5028.0210229095901</v>
      </c>
      <c r="L67" s="84">
        <f t="shared" ref="L67:L68" si="11">SUM(H67:K67)</f>
        <v>7307.2702983978143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6" x14ac:dyDescent="0.3">
      <c r="A68" s="2"/>
      <c r="B68" s="2"/>
      <c r="C68" s="27" t="str">
        <f>C48</f>
        <v>Zhong et al. (liuotus ja kuivatus)</v>
      </c>
      <c r="D68" s="2"/>
      <c r="E68" s="52">
        <f>E48/100*$E$39</f>
        <v>5077.4789580480001</v>
      </c>
      <c r="F68" s="10" t="s">
        <v>32</v>
      </c>
      <c r="G68" s="2"/>
      <c r="H68" s="77">
        <f t="shared" si="7"/>
        <v>0</v>
      </c>
      <c r="I68" s="78">
        <f t="shared" si="8"/>
        <v>50.681128028121229</v>
      </c>
      <c r="J68" s="78">
        <f t="shared" si="9"/>
        <v>3013.7973185886676</v>
      </c>
      <c r="K68" s="78">
        <f t="shared" si="10"/>
        <v>6760.2355826314924</v>
      </c>
      <c r="L68" s="84">
        <f t="shared" si="11"/>
        <v>9824.7140292482818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6" x14ac:dyDescent="0.3">
      <c r="A69" s="2"/>
      <c r="B69" s="2"/>
      <c r="C69" s="49" t="str">
        <f>C49</f>
        <v>Pan et al. (liuotus, uutto, elektrolyysi)</v>
      </c>
      <c r="D69" s="18"/>
      <c r="E69" s="53">
        <f>E49/100*$E$39</f>
        <v>5490.2400025968</v>
      </c>
      <c r="F69" s="19" t="s">
        <v>32</v>
      </c>
      <c r="G69" s="2"/>
      <c r="H69" s="79">
        <f>E69/1000*$I$46/100/$J$53*$I$38</f>
        <v>0</v>
      </c>
      <c r="I69" s="80">
        <f t="shared" si="8"/>
        <v>54.801124490271228</v>
      </c>
      <c r="J69" s="80">
        <f t="shared" si="9"/>
        <v>3258.7964883650925</v>
      </c>
      <c r="K69" s="80">
        <f t="shared" si="10"/>
        <v>7309.792148702556</v>
      </c>
      <c r="L69" s="85">
        <f>SUM(H69:K69)</f>
        <v>10623.389761557919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6" x14ac:dyDescent="0.3">
      <c r="A70" s="2"/>
      <c r="B70" s="2"/>
      <c r="C70" s="2"/>
      <c r="D70" s="2"/>
      <c r="E70" s="2"/>
      <c r="F70" s="2"/>
      <c r="G70" s="2"/>
      <c r="H70" s="47"/>
      <c r="I70" s="47"/>
      <c r="J70" s="47"/>
      <c r="K70" s="47"/>
      <c r="L70" s="86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6" x14ac:dyDescent="0.3">
      <c r="A71" s="2"/>
      <c r="B71" s="2"/>
      <c r="C71" s="55" t="s">
        <v>54</v>
      </c>
      <c r="D71" s="54"/>
      <c r="E71" s="54"/>
      <c r="F71" s="57"/>
      <c r="G71" s="2"/>
      <c r="H71" s="81" t="s">
        <v>57</v>
      </c>
      <c r="I71" s="82" t="s">
        <v>82</v>
      </c>
      <c r="J71" s="76" t="s">
        <v>83</v>
      </c>
      <c r="K71" s="76" t="s">
        <v>85</v>
      </c>
      <c r="L71" s="83" t="s">
        <v>92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6" x14ac:dyDescent="0.3">
      <c r="A72" s="2"/>
      <c r="B72" s="2"/>
      <c r="C72" s="27" t="str">
        <f>C46</f>
        <v>MER zeolite membrane</v>
      </c>
      <c r="D72" s="2"/>
      <c r="E72" s="52">
        <f>E46/100*$E$40</f>
        <v>2197.7682981119997</v>
      </c>
      <c r="F72" s="10" t="s">
        <v>32</v>
      </c>
      <c r="G72" s="2"/>
      <c r="H72" s="77">
        <f>E72/1000*$I$46/100/$J$53*$I$38</f>
        <v>0</v>
      </c>
      <c r="I72" s="78">
        <f>E72/1000*$I$47/100/$J$53*$I$39</f>
        <v>21.937141918867088</v>
      </c>
      <c r="J72" s="78">
        <f>E72/1000*$I$48/100/$J$54*$I$40</f>
        <v>1304.5112069308364</v>
      </c>
      <c r="K72" s="78">
        <f>E72/1000*$I$49/100/$J$55*$I$41</f>
        <v>2926.1433821850892</v>
      </c>
      <c r="L72" s="84">
        <f>SUM(H72:K72)</f>
        <v>4252.5917310347922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6" x14ac:dyDescent="0.3">
      <c r="A73" s="2"/>
      <c r="B73" s="2"/>
      <c r="C73" s="27" t="str">
        <f>C47</f>
        <v>MER zeolite membrane *</v>
      </c>
      <c r="D73" s="2"/>
      <c r="E73" s="52">
        <f>E47/100*$E$40</f>
        <v>4395.5365962239994</v>
      </c>
      <c r="F73" s="10" t="s">
        <v>32</v>
      </c>
      <c r="G73" s="2"/>
      <c r="H73" s="77">
        <f t="shared" ref="H73:H74" si="12">E73/1000*$I$46/100/$J$53*$I$38</f>
        <v>0</v>
      </c>
      <c r="I73" s="78">
        <f t="shared" ref="I73:I75" si="13">E73/1000*$I$47/100/$J$53*$I$39</f>
        <v>43.874283837734176</v>
      </c>
      <c r="J73" s="78">
        <f t="shared" ref="J73:J75" si="14">E73/1000*$I$48/100/$J$54*$I$40</f>
        <v>2609.0224138616727</v>
      </c>
      <c r="K73" s="78">
        <f t="shared" ref="K73:K75" si="15">E73/1000*$I$49/100/$J$55*$I$41</f>
        <v>5852.2867643701784</v>
      </c>
      <c r="L73" s="84">
        <f t="shared" ref="L73:L75" si="16">SUM(H73:K73)</f>
        <v>8505.1834620695845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6" x14ac:dyDescent="0.3">
      <c r="A74" s="2"/>
      <c r="B74" s="2"/>
      <c r="C74" s="27" t="str">
        <f>C48</f>
        <v>Zhong et al. (liuotus ja kuivatus)</v>
      </c>
      <c r="D74" s="2"/>
      <c r="E74" s="52">
        <f>E48/100*$E$40</f>
        <v>5909.8525577279997</v>
      </c>
      <c r="F74" s="10" t="s">
        <v>32</v>
      </c>
      <c r="G74" s="2"/>
      <c r="H74" s="77">
        <f t="shared" si="12"/>
        <v>0</v>
      </c>
      <c r="I74" s="78">
        <f t="shared" si="13"/>
        <v>58.989509672075521</v>
      </c>
      <c r="J74" s="78">
        <f t="shared" si="14"/>
        <v>3507.8624527835309</v>
      </c>
      <c r="K74" s="78">
        <f t="shared" si="15"/>
        <v>7868.4709240464917</v>
      </c>
      <c r="L74" s="84">
        <f t="shared" si="16"/>
        <v>11435.322886502097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6" x14ac:dyDescent="0.3">
      <c r="A75" s="2"/>
      <c r="B75" s="2"/>
      <c r="C75" s="49" t="str">
        <f>C49</f>
        <v>Pan et al. (liuotus, uutto, elektrolyysi)</v>
      </c>
      <c r="D75" s="18"/>
      <c r="E75" s="53">
        <f>E49/100*$E$40</f>
        <v>6390.2793472847998</v>
      </c>
      <c r="F75" s="19" t="s">
        <v>32</v>
      </c>
      <c r="G75" s="2"/>
      <c r="H75" s="79">
        <f>E75/1000*$I$46/100/$J$53*$I$38</f>
        <v>0</v>
      </c>
      <c r="I75" s="80">
        <f t="shared" si="13"/>
        <v>63.784915390315682</v>
      </c>
      <c r="J75" s="80">
        <f t="shared" si="14"/>
        <v>3793.0254208839606</v>
      </c>
      <c r="K75" s="80">
        <f t="shared" si="15"/>
        <v>8508.1187304570722</v>
      </c>
      <c r="L75" s="85">
        <f t="shared" si="16"/>
        <v>12364.929066731349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6" x14ac:dyDescent="0.3">
      <c r="A76" s="2"/>
      <c r="B76" s="2"/>
      <c r="C76" s="2"/>
      <c r="D76" s="2"/>
      <c r="E76" s="2"/>
      <c r="F76" s="2"/>
      <c r="G76" s="2"/>
      <c r="H76" s="47"/>
      <c r="I76" s="47"/>
      <c r="J76" s="47"/>
      <c r="K76" s="47"/>
      <c r="L76" s="86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6" x14ac:dyDescent="0.3">
      <c r="A77" s="2"/>
      <c r="B77" s="2"/>
      <c r="C77" s="55" t="s">
        <v>55</v>
      </c>
      <c r="D77" s="54"/>
      <c r="E77" s="54"/>
      <c r="F77" s="57"/>
      <c r="G77" s="2"/>
      <c r="H77" s="81" t="s">
        <v>57</v>
      </c>
      <c r="I77" s="76" t="s">
        <v>82</v>
      </c>
      <c r="J77" s="76" t="s">
        <v>83</v>
      </c>
      <c r="K77" s="76" t="s">
        <v>85</v>
      </c>
      <c r="L77" s="83" t="s">
        <v>92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6" x14ac:dyDescent="0.3">
      <c r="A78" s="2"/>
      <c r="B78" s="2"/>
      <c r="C78" s="27" t="str">
        <f>C46</f>
        <v>MER zeolite membrane</v>
      </c>
      <c r="D78" s="2"/>
      <c r="E78" s="52">
        <f>E46/100*$E$41</f>
        <v>2754.9489934079998</v>
      </c>
      <c r="F78" s="10" t="s">
        <v>32</v>
      </c>
      <c r="G78" s="2"/>
      <c r="H78" s="77">
        <f>E78/1000*$I$46/100/$J$53*$I$38</f>
        <v>0</v>
      </c>
      <c r="I78" s="78">
        <f>E78/1000*$I$47/100/$J$53*$I$39</f>
        <v>27.498670856044658</v>
      </c>
      <c r="J78" s="78">
        <f>E78/1000*$I$48/100/$J$54*$I$40</f>
        <v>1635.2323579837248</v>
      </c>
      <c r="K78" s="78">
        <f>E78/1000*$I$49/100/$J$55*$I$41</f>
        <v>3667.9825494996185</v>
      </c>
      <c r="L78" s="84">
        <f>SUM(H78:K78)</f>
        <v>5330.7135783393878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6" x14ac:dyDescent="0.3">
      <c r="A79" s="2"/>
      <c r="B79" s="2"/>
      <c r="C79" s="27" t="str">
        <f>C47</f>
        <v>MER zeolite membrane *</v>
      </c>
      <c r="D79" s="2"/>
      <c r="E79" s="52">
        <f>E47/100*$E$41</f>
        <v>5509.8979868159995</v>
      </c>
      <c r="F79" s="10" t="s">
        <v>32</v>
      </c>
      <c r="G79" s="2"/>
      <c r="H79" s="77">
        <f t="shared" ref="H79:H81" si="17">E79/1000*$I$46/100/$J$53*$I$38</f>
        <v>0</v>
      </c>
      <c r="I79" s="78">
        <f t="shared" ref="I79:I81" si="18">E79/1000*$I$47/100/$J$53*$I$39</f>
        <v>54.997341712089316</v>
      </c>
      <c r="J79" s="78">
        <f t="shared" ref="J79:J81" si="19">E79/1000*$I$48/100/$J$54*$I$40</f>
        <v>3270.4647159674496</v>
      </c>
      <c r="K79" s="78">
        <f t="shared" ref="K79:K81" si="20">E79/1000*$I$49/100/$J$55*$I$41</f>
        <v>7335.9650989992369</v>
      </c>
      <c r="L79" s="84">
        <f t="shared" ref="L79:L80" si="21">SUM(H79:K79)</f>
        <v>10661.427156678776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x14ac:dyDescent="0.3">
      <c r="A80" s="2"/>
      <c r="B80" s="2"/>
      <c r="C80" s="27" t="str">
        <f>C48</f>
        <v>Zhong et al. (liuotus ja kuivatus)</v>
      </c>
      <c r="D80" s="2"/>
      <c r="E80" s="52">
        <f>E48/100*$E$41</f>
        <v>7408.125037152</v>
      </c>
      <c r="F80" s="10" t="s">
        <v>32</v>
      </c>
      <c r="G80" s="2"/>
      <c r="H80" s="77">
        <f t="shared" si="17"/>
        <v>0</v>
      </c>
      <c r="I80" s="78">
        <f t="shared" si="18"/>
        <v>73.944596631193278</v>
      </c>
      <c r="J80" s="78">
        <f t="shared" si="19"/>
        <v>4397.1796943342852</v>
      </c>
      <c r="K80" s="78">
        <f t="shared" si="20"/>
        <v>9863.2945385934872</v>
      </c>
      <c r="L80" s="84">
        <f t="shared" si="21"/>
        <v>14334.418829558967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x14ac:dyDescent="0.3">
      <c r="A81" s="2"/>
      <c r="B81" s="2"/>
      <c r="C81" s="49" t="str">
        <f>C49</f>
        <v>Pan et al. (liuotus, uutto, elektrolyysi)</v>
      </c>
      <c r="D81" s="18"/>
      <c r="E81" s="53">
        <f>E49/100*$E$41</f>
        <v>8010.3501677232007</v>
      </c>
      <c r="F81" s="19" t="s">
        <v>32</v>
      </c>
      <c r="G81" s="2"/>
      <c r="H81" s="79">
        <f t="shared" si="17"/>
        <v>0</v>
      </c>
      <c r="I81" s="80">
        <f t="shared" si="18"/>
        <v>79.955739010395718</v>
      </c>
      <c r="J81" s="80">
        <f t="shared" si="19"/>
        <v>4754.6374994179232</v>
      </c>
      <c r="K81" s="80">
        <f t="shared" si="20"/>
        <v>10665.106577615205</v>
      </c>
      <c r="L81" s="85">
        <f>SUM(H81:K81)</f>
        <v>15499.699816043523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x14ac:dyDescent="0.3">
      <c r="A82" s="2"/>
      <c r="B82" s="2"/>
      <c r="C82" s="2"/>
      <c r="D82" s="2"/>
      <c r="E82" s="2"/>
      <c r="F82" s="2"/>
      <c r="G82" s="2"/>
      <c r="H82" s="47"/>
      <c r="I82" s="47"/>
      <c r="J82" s="47"/>
      <c r="K82" s="47"/>
      <c r="L82" s="86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x14ac:dyDescent="0.3">
      <c r="A83" s="2"/>
      <c r="B83" s="2"/>
      <c r="C83" s="55" t="s">
        <v>58</v>
      </c>
      <c r="D83" s="54"/>
      <c r="E83" s="54"/>
      <c r="F83" s="57"/>
      <c r="G83" s="2"/>
      <c r="H83" s="81" t="s">
        <v>57</v>
      </c>
      <c r="I83" s="76" t="s">
        <v>82</v>
      </c>
      <c r="J83" s="76" t="s">
        <v>83</v>
      </c>
      <c r="K83" s="76" t="s">
        <v>85</v>
      </c>
      <c r="L83" s="83" t="s">
        <v>92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x14ac:dyDescent="0.3">
      <c r="A84" s="2"/>
      <c r="B84" s="2"/>
      <c r="C84" s="27" t="str">
        <f>C46</f>
        <v>MER zeolite membrane</v>
      </c>
      <c r="D84" s="2"/>
      <c r="E84" s="52">
        <f>E46/100*$E$42</f>
        <v>2321.5862303999993</v>
      </c>
      <c r="F84" s="10" t="s">
        <v>32</v>
      </c>
      <c r="G84" s="2"/>
      <c r="H84" s="77">
        <f>E84/1000*$I$46/100/$J$53*$I$38</f>
        <v>0</v>
      </c>
      <c r="I84" s="78">
        <f>E84/1000*$I$47/100/$J$53*$I$39</f>
        <v>23.173037238239882</v>
      </c>
      <c r="J84" s="78">
        <f>E84/1000*$I$48/100/$J$54*$I$40</f>
        <v>1378.0047960537006</v>
      </c>
      <c r="K84" s="78">
        <f>E84/1000*$I$49/100/$J$55*$I$41</f>
        <v>3090.9965304772068</v>
      </c>
      <c r="L84" s="84">
        <f>SUM(H84:K84)</f>
        <v>4492.174363769147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x14ac:dyDescent="0.3">
      <c r="A85" s="2"/>
      <c r="B85" s="2"/>
      <c r="C85" s="27" t="str">
        <f>C47</f>
        <v>MER zeolite membrane *</v>
      </c>
      <c r="D85" s="2"/>
      <c r="E85" s="52">
        <f>E47/100*$E$42</f>
        <v>4643.1724607999986</v>
      </c>
      <c r="F85" s="10" t="s">
        <v>32</v>
      </c>
      <c r="G85" s="2"/>
      <c r="H85" s="77">
        <f t="shared" ref="H85:H87" si="22">E85/1000*$I$46/100/$J$53*$I$38</f>
        <v>0</v>
      </c>
      <c r="I85" s="78">
        <f t="shared" ref="I85:I87" si="23">E85/1000*$I$47/100/$J$53*$I$39</f>
        <v>46.346074476479764</v>
      </c>
      <c r="J85" s="78">
        <f t="shared" ref="J85:J87" si="24">E85/1000*$I$48/100/$J$54*$I$40</f>
        <v>2756.0095921074012</v>
      </c>
      <c r="K85" s="78">
        <f t="shared" ref="K85:K87" si="25">E85/1000*$I$49/100/$J$55*$I$41</f>
        <v>6181.9930609544135</v>
      </c>
      <c r="L85" s="84">
        <f t="shared" ref="L85:L87" si="26">SUM(H85:K85)</f>
        <v>8984.348727538294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x14ac:dyDescent="0.3">
      <c r="A86" s="2"/>
      <c r="B86" s="2"/>
      <c r="C86" s="27" t="str">
        <f>C48</f>
        <v>Zhong et al. (liuotus ja kuivatus)</v>
      </c>
      <c r="D86" s="2"/>
      <c r="E86" s="52">
        <f>E48/100*$E$42</f>
        <v>6242.8019975999996</v>
      </c>
      <c r="F86" s="10" t="s">
        <v>32</v>
      </c>
      <c r="G86" s="2"/>
      <c r="H86" s="77">
        <f t="shared" si="22"/>
        <v>0</v>
      </c>
      <c r="I86" s="78">
        <f t="shared" si="23"/>
        <v>62.312862329657243</v>
      </c>
      <c r="J86" s="78">
        <f t="shared" si="24"/>
        <v>3705.4885064614764</v>
      </c>
      <c r="K86" s="78">
        <f t="shared" si="25"/>
        <v>8311.7650606124898</v>
      </c>
      <c r="L86" s="84">
        <f t="shared" si="26"/>
        <v>12079.566429403623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x14ac:dyDescent="0.3">
      <c r="A87" s="2"/>
      <c r="B87" s="2"/>
      <c r="C87" s="49" t="str">
        <f>C49</f>
        <v>Pan et al. (liuotus, uutto, elektrolyysi)</v>
      </c>
      <c r="D87" s="18"/>
      <c r="E87" s="53">
        <f>E49/100*$E$42</f>
        <v>6750.295085159999</v>
      </c>
      <c r="F87" s="19" t="s">
        <v>32</v>
      </c>
      <c r="G87" s="2"/>
      <c r="H87" s="79">
        <f t="shared" si="22"/>
        <v>0</v>
      </c>
      <c r="I87" s="80">
        <f t="shared" si="23"/>
        <v>67.378431750333462</v>
      </c>
      <c r="J87" s="80">
        <f t="shared" si="24"/>
        <v>4006.7169938915067</v>
      </c>
      <c r="K87" s="80">
        <f t="shared" si="25"/>
        <v>8987.4493631588775</v>
      </c>
      <c r="L87" s="85">
        <f t="shared" si="26"/>
        <v>13061.544788800718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x14ac:dyDescent="0.3">
      <c r="A89" s="2"/>
      <c r="B89" s="2"/>
      <c r="C89" s="55" t="s">
        <v>110</v>
      </c>
      <c r="D89" s="54"/>
      <c r="E89" s="54"/>
      <c r="F89" s="57"/>
      <c r="G89" s="2"/>
      <c r="H89" s="81" t="s">
        <v>57</v>
      </c>
      <c r="I89" s="76" t="s">
        <v>82</v>
      </c>
      <c r="J89" s="76" t="s">
        <v>83</v>
      </c>
      <c r="K89" s="76" t="s">
        <v>85</v>
      </c>
      <c r="L89" s="83" t="s">
        <v>92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x14ac:dyDescent="0.3">
      <c r="A90" s="2"/>
      <c r="B90" s="2"/>
      <c r="C90" s="27" t="str">
        <f>C66</f>
        <v>MER zeolite membrane</v>
      </c>
      <c r="D90" s="2"/>
      <c r="E90" s="52">
        <f>E46/100*$E$43</f>
        <v>2538.2676119039993</v>
      </c>
      <c r="F90" s="10" t="s">
        <v>32</v>
      </c>
      <c r="G90" s="2"/>
      <c r="H90" s="77">
        <f>E90/1000*$I$46/100/$J$53*$I$38</f>
        <v>0</v>
      </c>
      <c r="I90" s="78">
        <f>E90/1000*$I$47/100/$J$53*$I$39</f>
        <v>25.33585404714227</v>
      </c>
      <c r="J90" s="78">
        <f>E90/1000*$I$48/100/$J$54*$I$40</f>
        <v>1506.6185770187126</v>
      </c>
      <c r="K90" s="78">
        <f>E90/1000*$I$49/100/$J$55*$I$41</f>
        <v>3379.4895399884126</v>
      </c>
      <c r="L90" s="84">
        <f>SUM(H90:K90)</f>
        <v>4911.4439710542674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x14ac:dyDescent="0.3">
      <c r="A91" s="2"/>
      <c r="B91" s="2"/>
      <c r="C91" s="27" t="str">
        <f>C67</f>
        <v>MER zeolite membrane *</v>
      </c>
      <c r="D91" s="2"/>
      <c r="E91" s="52">
        <f>E47/100*$E$43</f>
        <v>5076.5352238079986</v>
      </c>
      <c r="F91" s="10" t="s">
        <v>32</v>
      </c>
      <c r="G91" s="2"/>
      <c r="H91" s="77">
        <f t="shared" ref="H91:H92" si="27">E91/1000*$I$46/100/$J$53*$I$38</f>
        <v>0</v>
      </c>
      <c r="I91" s="78">
        <f t="shared" ref="I91:I93" si="28">E91/1000*$I$47/100/$J$53*$I$39</f>
        <v>50.67170809428454</v>
      </c>
      <c r="J91" s="78">
        <f t="shared" ref="J91:J93" si="29">E91/1000*$I$48/100/$J$54*$I$40</f>
        <v>3013.2371540374252</v>
      </c>
      <c r="K91" s="78">
        <f t="shared" ref="K91:K93" si="30">E91/1000*$I$49/100/$J$55*$I$41</f>
        <v>6758.9790799768252</v>
      </c>
      <c r="L91" s="84">
        <f t="shared" ref="L91:L92" si="31">SUM(H91:K91)</f>
        <v>9822.8879421085348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x14ac:dyDescent="0.3">
      <c r="A92" s="2"/>
      <c r="B92" s="2"/>
      <c r="C92" s="27" t="str">
        <f>C68</f>
        <v>Zhong et al. (liuotus ja kuivatus)</v>
      </c>
      <c r="D92" s="2"/>
      <c r="E92" s="52">
        <f>E48/100*$E$43</f>
        <v>6825.4635173759989</v>
      </c>
      <c r="F92" s="10" t="s">
        <v>32</v>
      </c>
      <c r="G92" s="2"/>
      <c r="H92" s="77">
        <f t="shared" si="27"/>
        <v>0</v>
      </c>
      <c r="I92" s="78">
        <f t="shared" si="28"/>
        <v>68.12872948042525</v>
      </c>
      <c r="J92" s="78">
        <f t="shared" si="29"/>
        <v>4051.3341003978799</v>
      </c>
      <c r="K92" s="78">
        <f t="shared" si="30"/>
        <v>9087.5297996029876</v>
      </c>
      <c r="L92" s="84">
        <f t="shared" si="31"/>
        <v>13206.992629481294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x14ac:dyDescent="0.3">
      <c r="A93" s="2"/>
      <c r="B93" s="2"/>
      <c r="C93" s="49" t="str">
        <f>C69</f>
        <v>Pan et al. (liuotus, uutto, elektrolyysi)</v>
      </c>
      <c r="D93" s="18"/>
      <c r="E93" s="53">
        <f>E49/100*$E$43</f>
        <v>7380.3226264415989</v>
      </c>
      <c r="F93" s="19" t="s">
        <v>32</v>
      </c>
      <c r="G93" s="2"/>
      <c r="H93" s="79">
        <f>E93/1000*$I$46/100/$J$53*$I$38</f>
        <v>0</v>
      </c>
      <c r="I93" s="80">
        <f t="shared" si="28"/>
        <v>73.667085380364583</v>
      </c>
      <c r="J93" s="80">
        <f t="shared" si="29"/>
        <v>4380.6772466547145</v>
      </c>
      <c r="K93" s="80">
        <f t="shared" si="30"/>
        <v>9826.2779703870401</v>
      </c>
      <c r="L93" s="85">
        <f>SUM(H93:K93)</f>
        <v>14280.622302422118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6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x14ac:dyDescent="0.3">
      <c r="A96" s="59"/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2"/>
      <c r="T96" s="2"/>
      <c r="U96" s="2"/>
      <c r="V96" s="2"/>
      <c r="W96" s="2"/>
      <c r="X96" s="2"/>
      <c r="Y96" s="2"/>
    </row>
    <row r="97" spans="1:25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8" x14ac:dyDescent="0.4">
      <c r="A98" s="2"/>
      <c r="C98" s="88" t="s">
        <v>124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 t="s">
        <v>75</v>
      </c>
      <c r="M99" s="2">
        <v>7.0000000000000007E-2</v>
      </c>
      <c r="N99" s="2" t="s">
        <v>1</v>
      </c>
      <c r="O99" s="2"/>
      <c r="P99" s="2"/>
      <c r="Q99" s="2"/>
      <c r="R99" s="2"/>
      <c r="S99" s="2"/>
      <c r="T99" s="2" t="s">
        <v>96</v>
      </c>
      <c r="U99" s="2"/>
      <c r="V99" s="2">
        <v>40</v>
      </c>
      <c r="W99" s="2" t="s">
        <v>49</v>
      </c>
      <c r="X99" s="2" t="s">
        <v>98</v>
      </c>
      <c r="Y99" s="2"/>
    </row>
    <row r="100" spans="1:25" x14ac:dyDescent="0.3">
      <c r="A100" s="2"/>
      <c r="B100" s="2"/>
      <c r="C100" s="2" t="s">
        <v>62</v>
      </c>
      <c r="D100" s="2"/>
      <c r="E100" s="2"/>
      <c r="F100" s="2"/>
      <c r="G100" s="2"/>
      <c r="H100" s="2"/>
      <c r="I100" s="2"/>
      <c r="J100" s="2"/>
      <c r="K100" s="2"/>
      <c r="L100" s="2" t="s">
        <v>76</v>
      </c>
      <c r="M100" s="2">
        <v>20</v>
      </c>
      <c r="N100" s="2" t="s">
        <v>77</v>
      </c>
      <c r="O100" s="2"/>
      <c r="P100" s="2"/>
      <c r="Q100" s="2"/>
      <c r="R100" s="2"/>
      <c r="S100" s="2"/>
      <c r="T100" s="2"/>
      <c r="U100" s="2"/>
      <c r="V100" s="2">
        <v>1100</v>
      </c>
      <c r="W100" s="2" t="s">
        <v>97</v>
      </c>
      <c r="X100" s="2"/>
      <c r="Y100" s="2"/>
    </row>
    <row r="101" spans="1:25" x14ac:dyDescent="0.3">
      <c r="A101" s="2"/>
      <c r="B101" s="2"/>
      <c r="C101" s="2" t="s">
        <v>63</v>
      </c>
      <c r="D101" s="2"/>
      <c r="E101" s="2"/>
      <c r="F101" s="2"/>
      <c r="G101" s="2"/>
      <c r="H101" s="2"/>
      <c r="I101" s="2"/>
      <c r="J101" s="2"/>
      <c r="K101" s="2"/>
      <c r="L101" s="2" t="s">
        <v>73</v>
      </c>
      <c r="M101" s="2">
        <v>10000000</v>
      </c>
      <c r="N101" s="2" t="s">
        <v>46</v>
      </c>
      <c r="O101" s="2"/>
      <c r="P101" s="2"/>
      <c r="Q101" s="2"/>
      <c r="R101" s="2"/>
      <c r="S101" s="2"/>
      <c r="T101" s="2"/>
      <c r="U101" s="2"/>
      <c r="V101" s="2">
        <v>6473</v>
      </c>
      <c r="W101" s="2" t="s">
        <v>46</v>
      </c>
      <c r="X101" s="2"/>
      <c r="Y101" s="2"/>
    </row>
    <row r="102" spans="1:25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 t="s">
        <v>79</v>
      </c>
      <c r="M102" s="2">
        <f>0.0628/(1.255)*1000</f>
        <v>50.039840637450197</v>
      </c>
      <c r="N102" s="2" t="s">
        <v>81</v>
      </c>
      <c r="O102" s="2" t="s">
        <v>80</v>
      </c>
      <c r="P102" s="2"/>
      <c r="Q102" s="2"/>
      <c r="R102" s="2"/>
      <c r="S102" s="2"/>
      <c r="T102" s="2"/>
      <c r="U102" s="2"/>
      <c r="V102" s="2">
        <f>V101/V99</f>
        <v>161.82499999999999</v>
      </c>
      <c r="W102" s="2" t="s">
        <v>48</v>
      </c>
      <c r="X102" s="2"/>
      <c r="Y102" s="2"/>
    </row>
    <row r="103" spans="1:25" x14ac:dyDescent="0.3">
      <c r="A103" s="2"/>
      <c r="B103" s="2"/>
      <c r="C103" s="2" t="s">
        <v>86</v>
      </c>
      <c r="D103" s="2">
        <v>8000</v>
      </c>
      <c r="E103" s="2" t="s">
        <v>65</v>
      </c>
      <c r="F103" s="2"/>
      <c r="G103" s="2"/>
      <c r="H103" s="2"/>
      <c r="I103" s="2"/>
      <c r="J103" s="2"/>
      <c r="K103" s="2"/>
      <c r="L103" s="2" t="s">
        <v>95</v>
      </c>
      <c r="M103" s="2">
        <f>V103*2.5</f>
        <v>36.778409090909093</v>
      </c>
      <c r="N103" s="2" t="s">
        <v>99</v>
      </c>
      <c r="O103" s="2"/>
      <c r="P103" s="2"/>
      <c r="Q103" s="2"/>
      <c r="R103" s="2"/>
      <c r="S103" s="2"/>
      <c r="T103" s="2"/>
      <c r="U103" s="2"/>
      <c r="V103" s="2">
        <f>V102/11</f>
        <v>14.711363636363636</v>
      </c>
      <c r="W103" s="2" t="s">
        <v>107</v>
      </c>
      <c r="X103" s="2"/>
      <c r="Y103" s="2"/>
    </row>
    <row r="104" spans="1:25" x14ac:dyDescent="0.3">
      <c r="A104" s="2"/>
      <c r="B104" s="2"/>
      <c r="C104" s="2"/>
      <c r="D104" s="2">
        <f>D103/24</f>
        <v>333.33333333333331</v>
      </c>
      <c r="E104" s="2" t="s">
        <v>66</v>
      </c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x14ac:dyDescent="0.3">
      <c r="A106" s="2"/>
      <c r="B106" s="2"/>
      <c r="C106" s="74" t="s">
        <v>93</v>
      </c>
      <c r="D106" s="74"/>
      <c r="E106" s="74"/>
      <c r="F106" s="2"/>
      <c r="G106" s="2"/>
      <c r="H106" s="2"/>
      <c r="I106" s="2"/>
      <c r="J106" s="2"/>
      <c r="K106" s="2"/>
      <c r="L106" s="1" t="s">
        <v>101</v>
      </c>
      <c r="M106" s="2"/>
      <c r="N106" s="2"/>
      <c r="O106" s="2" t="s">
        <v>108</v>
      </c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x14ac:dyDescent="0.3">
      <c r="A107" s="2"/>
      <c r="B107" s="2"/>
      <c r="C107" s="60" t="s">
        <v>36</v>
      </c>
      <c r="D107" s="61" t="s">
        <v>67</v>
      </c>
      <c r="E107" s="5" t="s">
        <v>68</v>
      </c>
      <c r="F107" s="22"/>
      <c r="G107" s="60" t="s">
        <v>39</v>
      </c>
      <c r="H107" s="61" t="s">
        <v>67</v>
      </c>
      <c r="I107" s="5" t="s">
        <v>68</v>
      </c>
      <c r="J107" s="2"/>
      <c r="K107" s="2"/>
      <c r="L107" s="62" t="s">
        <v>69</v>
      </c>
      <c r="M107" s="63" t="s">
        <v>74</v>
      </c>
      <c r="N107" s="2"/>
      <c r="O107" s="47" t="s">
        <v>138</v>
      </c>
      <c r="P107" s="47"/>
      <c r="Q107" s="47"/>
      <c r="R107" s="2"/>
      <c r="S107" s="2"/>
      <c r="T107" s="2"/>
      <c r="U107" s="2"/>
      <c r="V107" s="2"/>
      <c r="W107" s="2"/>
      <c r="X107" s="2"/>
      <c r="Y107" s="2"/>
    </row>
    <row r="108" spans="1:25" x14ac:dyDescent="0.3">
      <c r="A108" s="2"/>
      <c r="B108" s="2"/>
      <c r="C108" s="64" t="str">
        <f>C66</f>
        <v>MER zeolite membrane</v>
      </c>
      <c r="D108" s="65">
        <f>L66</f>
        <v>3653.6351491989071</v>
      </c>
      <c r="E108" s="66">
        <f>D108*$D$104</f>
        <v>1217878.3830663024</v>
      </c>
      <c r="F108" s="22"/>
      <c r="G108" s="64" t="str">
        <f>C66</f>
        <v>MER zeolite membrane</v>
      </c>
      <c r="H108" s="65">
        <f>L78</f>
        <v>5330.7135783393878</v>
      </c>
      <c r="I108" s="66">
        <f>H108*$D$104</f>
        <v>1776904.5261131292</v>
      </c>
      <c r="J108" s="2"/>
      <c r="K108" s="2"/>
      <c r="L108" s="67" t="s">
        <v>70</v>
      </c>
      <c r="M108" s="68">
        <f>PMT(M99,M100,-M101)</f>
        <v>943929.25743255694</v>
      </c>
      <c r="N108" s="2"/>
      <c r="O108" s="108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x14ac:dyDescent="0.3">
      <c r="A109" s="2"/>
      <c r="B109" s="2"/>
      <c r="C109" s="64" t="str">
        <f>C67</f>
        <v>MER zeolite membrane *</v>
      </c>
      <c r="D109" s="65">
        <f>L67</f>
        <v>7307.2702983978143</v>
      </c>
      <c r="E109" s="66">
        <f>D109*$D$104</f>
        <v>2435756.7661326048</v>
      </c>
      <c r="F109" s="22"/>
      <c r="G109" s="64" t="str">
        <f>C67</f>
        <v>MER zeolite membrane *</v>
      </c>
      <c r="H109" s="65">
        <f>L79</f>
        <v>10661.427156678776</v>
      </c>
      <c r="I109" s="66">
        <f>H109*$D$104</f>
        <v>3553809.0522262584</v>
      </c>
      <c r="J109" s="2"/>
      <c r="K109" s="2"/>
      <c r="L109" s="67" t="s">
        <v>71</v>
      </c>
      <c r="M109" s="28"/>
      <c r="N109" s="2"/>
      <c r="O109" s="86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x14ac:dyDescent="0.3">
      <c r="A110" s="2"/>
      <c r="B110" s="2"/>
      <c r="C110" s="64" t="str">
        <f>C68</f>
        <v>Zhong et al. (liuotus ja kuivatus)</v>
      </c>
      <c r="D110" s="65">
        <f>L68</f>
        <v>9824.7140292482818</v>
      </c>
      <c r="E110" s="66">
        <f>D110*$D$104</f>
        <v>3274904.6764160939</v>
      </c>
      <c r="F110" s="22"/>
      <c r="G110" s="64" t="str">
        <f>C68</f>
        <v>Zhong et al. (liuotus ja kuivatus)</v>
      </c>
      <c r="H110" s="65">
        <f>L80</f>
        <v>14334.418829558967</v>
      </c>
      <c r="I110" s="66">
        <f>H110*$D$104</f>
        <v>4778139.6098529883</v>
      </c>
      <c r="J110" s="2"/>
      <c r="K110" s="2"/>
      <c r="L110" s="27" t="s">
        <v>94</v>
      </c>
      <c r="M110" s="87"/>
      <c r="O110" s="125" t="s">
        <v>36</v>
      </c>
      <c r="P110" s="123" t="s">
        <v>38</v>
      </c>
      <c r="Q110" s="123" t="s">
        <v>39</v>
      </c>
      <c r="R110" s="123" t="s">
        <v>37</v>
      </c>
      <c r="S110" s="126" t="s">
        <v>111</v>
      </c>
      <c r="T110" s="2"/>
      <c r="U110" s="2"/>
      <c r="V110" s="2"/>
      <c r="W110" s="2"/>
      <c r="X110" s="2"/>
      <c r="Y110" s="2"/>
    </row>
    <row r="111" spans="1:25" x14ac:dyDescent="0.3">
      <c r="A111" s="2"/>
      <c r="B111" s="2"/>
      <c r="C111" s="69" t="str">
        <f>C69</f>
        <v>Pan et al. (liuotus, uutto, elektrolyysi)</v>
      </c>
      <c r="D111" s="70">
        <f>L69</f>
        <v>10623.389761557919</v>
      </c>
      <c r="E111" s="71">
        <f>D111*$D$104</f>
        <v>3541129.9205193063</v>
      </c>
      <c r="F111" s="22"/>
      <c r="G111" s="69" t="str">
        <f>C69</f>
        <v>Pan et al. (liuotus, uutto, elektrolyysi)</v>
      </c>
      <c r="H111" s="70">
        <f>L81</f>
        <v>15499.699816043523</v>
      </c>
      <c r="I111" s="71">
        <f>H111*$D$104</f>
        <v>5166566.605347841</v>
      </c>
      <c r="J111" s="2"/>
      <c r="K111" s="2"/>
      <c r="L111" s="67" t="s">
        <v>72</v>
      </c>
      <c r="M111" s="68">
        <f>0.15*M108</f>
        <v>141589.38861488353</v>
      </c>
      <c r="N111" s="2" t="s">
        <v>100</v>
      </c>
      <c r="O111" s="127">
        <f>NPV($M$99,D145,D145,D145,D145,D145,D145,D145,D145,D145,D145)</f>
        <v>18255206.375865012</v>
      </c>
      <c r="P111" s="128">
        <f>NPV($M$99,E145,E145,E145,E145,E145,E145,E145,E145,E145,E145)</f>
        <v>21247863.158793703</v>
      </c>
      <c r="Q111" s="128">
        <f>NPV($M$99,F145,F145,F145,F145,F145,F145,F145,F145,F145,F145)</f>
        <v>26634645.368065353</v>
      </c>
      <c r="R111" s="128">
        <f>NPV($M$99,G145,G145,G145,G145,G145,G145,G145,G145,G145,G145)</f>
        <v>22444925.871965189</v>
      </c>
      <c r="S111" s="129">
        <f>NPV($M$99,H145,H145,H145,H145,H145,H145,H145,H145,H145,H145)</f>
        <v>24539785.62001526</v>
      </c>
      <c r="T111" s="2"/>
      <c r="U111" s="2"/>
      <c r="V111" s="2"/>
      <c r="W111" s="2"/>
      <c r="X111" s="2"/>
      <c r="Y111" s="2"/>
    </row>
    <row r="112" spans="1:25" x14ac:dyDescent="0.3">
      <c r="A112" s="2"/>
      <c r="B112" s="2"/>
      <c r="C112" s="47"/>
      <c r="D112" s="22"/>
      <c r="E112" s="66"/>
      <c r="F112" s="22"/>
      <c r="G112" s="47"/>
      <c r="H112" s="22"/>
      <c r="I112" s="65"/>
      <c r="J112" s="2"/>
      <c r="K112" s="2"/>
      <c r="L112" s="72" t="s">
        <v>78</v>
      </c>
      <c r="M112" s="73">
        <f>SUM(M108:M111)</f>
        <v>1085518.6460474404</v>
      </c>
      <c r="N112" s="2"/>
      <c r="O112" s="109"/>
      <c r="P112" s="110"/>
      <c r="Q112" s="2"/>
      <c r="R112" s="2"/>
      <c r="S112" s="2"/>
      <c r="T112" s="2"/>
      <c r="U112" s="2"/>
      <c r="V112" s="2"/>
      <c r="W112" s="2"/>
      <c r="X112" s="2"/>
      <c r="Y112" s="2"/>
    </row>
    <row r="113" spans="1:25" x14ac:dyDescent="0.3">
      <c r="A113" s="2"/>
      <c r="B113" s="2"/>
      <c r="C113" s="60" t="s">
        <v>64</v>
      </c>
      <c r="D113" s="61" t="s">
        <v>67</v>
      </c>
      <c r="E113" s="5" t="s">
        <v>68</v>
      </c>
      <c r="F113" s="22"/>
      <c r="G113" s="60" t="s">
        <v>37</v>
      </c>
      <c r="H113" s="61" t="s">
        <v>67</v>
      </c>
      <c r="I113" s="5" t="s">
        <v>68</v>
      </c>
      <c r="J113" s="2"/>
      <c r="K113" s="2"/>
      <c r="L113" s="2"/>
      <c r="M113" s="2"/>
      <c r="N113" s="2"/>
      <c r="O113" s="2"/>
      <c r="P113" s="86"/>
      <c r="Q113" s="2"/>
      <c r="R113" s="2"/>
      <c r="S113" s="2"/>
      <c r="T113" s="2"/>
      <c r="U113" s="2"/>
      <c r="V113" s="2"/>
      <c r="W113" s="2"/>
      <c r="X113" s="2"/>
      <c r="Y113" s="2"/>
    </row>
    <row r="114" spans="1:25" x14ac:dyDescent="0.3">
      <c r="A114" s="2"/>
      <c r="B114" s="2"/>
      <c r="C114" s="64" t="str">
        <f>C66</f>
        <v>MER zeolite membrane</v>
      </c>
      <c r="D114" s="65">
        <f>L72</f>
        <v>4252.5917310347922</v>
      </c>
      <c r="E114" s="66">
        <f>D114*$D$104</f>
        <v>1417530.5770115973</v>
      </c>
      <c r="F114" s="22"/>
      <c r="G114" s="64" t="str">
        <f>C66</f>
        <v>MER zeolite membrane</v>
      </c>
      <c r="H114" s="65">
        <f>L84</f>
        <v>4492.174363769147</v>
      </c>
      <c r="I114" s="66">
        <f>H114*$D$104</f>
        <v>1497391.4545897157</v>
      </c>
      <c r="J114" s="2"/>
      <c r="K114" s="2"/>
      <c r="L114" s="2"/>
      <c r="M114" s="2"/>
      <c r="N114" s="2"/>
      <c r="O114" s="2"/>
      <c r="P114" s="86"/>
      <c r="Q114" s="2"/>
      <c r="R114" s="2"/>
      <c r="S114" s="2"/>
      <c r="T114" s="2"/>
      <c r="U114" s="2"/>
      <c r="V114" s="2"/>
      <c r="W114" s="2"/>
      <c r="X114" s="2"/>
      <c r="Y114" s="2"/>
    </row>
    <row r="115" spans="1:25" x14ac:dyDescent="0.3">
      <c r="A115" s="2"/>
      <c r="B115" s="2"/>
      <c r="C115" s="64" t="str">
        <f>C67</f>
        <v>MER zeolite membrane *</v>
      </c>
      <c r="D115" s="65">
        <f>L73</f>
        <v>8505.1834620695845</v>
      </c>
      <c r="E115" s="66">
        <f>D115*$D$104</f>
        <v>2835061.1540231947</v>
      </c>
      <c r="F115" s="22"/>
      <c r="G115" s="64" t="str">
        <f>C67</f>
        <v>MER zeolite membrane *</v>
      </c>
      <c r="H115" s="65">
        <f>L85</f>
        <v>8984.348727538294</v>
      </c>
      <c r="I115" s="66">
        <f>H115*$D$104</f>
        <v>2994782.9091794314</v>
      </c>
      <c r="J115" s="2"/>
      <c r="K115" s="2"/>
      <c r="L115" s="2"/>
      <c r="M115" s="2"/>
      <c r="N115" s="2"/>
      <c r="O115" s="47"/>
      <c r="P115" s="86"/>
      <c r="Q115" s="2"/>
      <c r="R115" s="2"/>
      <c r="S115" s="2"/>
      <c r="T115" s="2"/>
      <c r="U115" s="2"/>
      <c r="V115" s="2"/>
      <c r="W115" s="2"/>
      <c r="X115" s="2"/>
      <c r="Y115" s="2"/>
    </row>
    <row r="116" spans="1:25" x14ac:dyDescent="0.3">
      <c r="A116" s="2"/>
      <c r="B116" s="2"/>
      <c r="C116" s="64" t="str">
        <f>C68</f>
        <v>Zhong et al. (liuotus ja kuivatus)</v>
      </c>
      <c r="D116" s="65">
        <f>L74</f>
        <v>11435.322886502097</v>
      </c>
      <c r="E116" s="66">
        <f>D116*$D$104</f>
        <v>3811774.295500699</v>
      </c>
      <c r="F116" s="22"/>
      <c r="G116" s="64" t="str">
        <f>C68</f>
        <v>Zhong et al. (liuotus ja kuivatus)</v>
      </c>
      <c r="H116" s="65">
        <f>L86</f>
        <v>12079.566429403623</v>
      </c>
      <c r="I116" s="66">
        <f>H116*$D$104</f>
        <v>4026522.1431345409</v>
      </c>
      <c r="J116" s="2"/>
      <c r="K116" s="2"/>
      <c r="L116" s="2"/>
      <c r="M116" s="2"/>
      <c r="N116" s="2"/>
      <c r="O116" s="47"/>
      <c r="P116" s="108"/>
      <c r="Q116" s="2"/>
      <c r="R116" s="2"/>
      <c r="S116" s="2"/>
      <c r="T116" s="2"/>
      <c r="U116" s="2"/>
      <c r="V116" s="2"/>
      <c r="W116" s="2"/>
      <c r="X116" s="2"/>
      <c r="Y116" s="2"/>
    </row>
    <row r="117" spans="1:25" x14ac:dyDescent="0.3">
      <c r="A117" s="2"/>
      <c r="B117" s="2"/>
      <c r="C117" s="69" t="str">
        <f>C69</f>
        <v>Pan et al. (liuotus, uutto, elektrolyysi)</v>
      </c>
      <c r="D117" s="70">
        <f>L75</f>
        <v>12364.929066731349</v>
      </c>
      <c r="E117" s="71">
        <f>D117*$D$104</f>
        <v>4121643.0222437829</v>
      </c>
      <c r="F117" s="22"/>
      <c r="G117" s="69" t="str">
        <f>C69</f>
        <v>Pan et al. (liuotus, uutto, elektrolyysi)</v>
      </c>
      <c r="H117" s="70">
        <f>L87</f>
        <v>13061.544788800718</v>
      </c>
      <c r="I117" s="71">
        <f>H117*D104</f>
        <v>4353848.2629335728</v>
      </c>
      <c r="J117" s="2"/>
      <c r="K117" s="2"/>
      <c r="L117" s="2"/>
      <c r="M117" s="2"/>
      <c r="N117" s="2"/>
      <c r="O117" s="47"/>
      <c r="P117" s="86"/>
      <c r="Q117" s="2"/>
      <c r="R117" s="2"/>
      <c r="S117" s="2"/>
      <c r="T117" s="2"/>
      <c r="U117" s="2"/>
      <c r="V117" s="2"/>
      <c r="W117" s="2"/>
      <c r="X117" s="2"/>
      <c r="Y117" s="2"/>
    </row>
    <row r="118" spans="1:25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94"/>
      <c r="Q118" s="2"/>
      <c r="R118" s="2"/>
      <c r="S118" s="2"/>
      <c r="T118" s="2"/>
      <c r="U118" s="2"/>
      <c r="V118" s="2"/>
      <c r="W118" s="2"/>
      <c r="X118" s="2"/>
      <c r="Y118" s="2"/>
    </row>
    <row r="119" spans="1:25" x14ac:dyDescent="0.3">
      <c r="A119" s="2"/>
      <c r="B119" s="2"/>
      <c r="C119" s="60" t="s">
        <v>111</v>
      </c>
      <c r="D119" s="61" t="s">
        <v>67</v>
      </c>
      <c r="E119" s="5" t="s">
        <v>68</v>
      </c>
      <c r="F119" s="2"/>
      <c r="G119" s="2"/>
      <c r="H119" s="2"/>
      <c r="I119" s="2"/>
      <c r="J119" s="2"/>
      <c r="K119" s="2"/>
      <c r="L119" s="2"/>
      <c r="M119" s="2"/>
      <c r="N119" s="2"/>
      <c r="O119" s="47"/>
      <c r="P119" s="108"/>
      <c r="Q119" s="2"/>
      <c r="R119" s="2"/>
      <c r="S119" s="2"/>
      <c r="T119" s="2"/>
      <c r="U119" s="2"/>
      <c r="V119" s="2"/>
      <c r="W119" s="2"/>
      <c r="X119" s="2"/>
      <c r="Y119" s="2"/>
    </row>
    <row r="120" spans="1:25" x14ac:dyDescent="0.3">
      <c r="A120" s="2"/>
      <c r="B120" s="2"/>
      <c r="C120" s="64" t="str">
        <f>C66</f>
        <v>MER zeolite membrane</v>
      </c>
      <c r="D120" s="65">
        <f>L90</f>
        <v>4911.4439710542674</v>
      </c>
      <c r="E120" s="66">
        <f>D120*$D$104</f>
        <v>1637147.9903514225</v>
      </c>
      <c r="F120" s="2"/>
      <c r="G120" s="2"/>
      <c r="H120" s="2"/>
      <c r="I120" s="2"/>
      <c r="J120" s="2"/>
      <c r="K120" s="2"/>
      <c r="L120" s="2"/>
      <c r="M120" s="2"/>
      <c r="N120" s="2"/>
      <c r="O120" s="109"/>
      <c r="P120" s="110"/>
      <c r="Q120" s="2"/>
      <c r="R120" s="2"/>
      <c r="S120" s="2"/>
      <c r="T120" s="2"/>
      <c r="U120" s="2"/>
      <c r="V120" s="2"/>
      <c r="W120" s="2"/>
      <c r="X120" s="2"/>
      <c r="Y120" s="2"/>
    </row>
    <row r="121" spans="1:25" x14ac:dyDescent="0.3">
      <c r="A121" s="2"/>
      <c r="B121" s="2"/>
      <c r="C121" s="64" t="str">
        <f>C67</f>
        <v>MER zeolite membrane *</v>
      </c>
      <c r="D121" s="65">
        <f>L91</f>
        <v>9822.8879421085348</v>
      </c>
      <c r="E121" s="66">
        <f>D121*$D$104</f>
        <v>3274295.9807028449</v>
      </c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x14ac:dyDescent="0.3">
      <c r="A122" s="2"/>
      <c r="B122" s="2"/>
      <c r="C122" s="64" t="str">
        <f>C68</f>
        <v>Zhong et al. (liuotus ja kuivatus)</v>
      </c>
      <c r="D122" s="65">
        <f>L92</f>
        <v>13206.992629481294</v>
      </c>
      <c r="E122" s="66">
        <f>D122*$D$104</f>
        <v>4402330.8764937641</v>
      </c>
      <c r="F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x14ac:dyDescent="0.3">
      <c r="A123" s="2"/>
      <c r="B123" s="2"/>
      <c r="C123" s="69" t="s">
        <v>112</v>
      </c>
      <c r="D123" s="70">
        <f>L93</f>
        <v>14280.622302422118</v>
      </c>
      <c r="E123" s="71">
        <f>D123*$D$104</f>
        <v>4760207.4341407055</v>
      </c>
      <c r="F123" s="2"/>
      <c r="G123" s="2"/>
      <c r="H123" s="22"/>
      <c r="I123" s="2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x14ac:dyDescent="0.3">
      <c r="A124" s="2"/>
      <c r="B124" s="2"/>
      <c r="C124" s="2"/>
      <c r="D124" s="2"/>
      <c r="E124" s="2"/>
      <c r="F124" s="2"/>
      <c r="G124" s="121" t="s">
        <v>152</v>
      </c>
      <c r="H124" s="65"/>
      <c r="I124" s="65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x14ac:dyDescent="0.3">
      <c r="A125" s="2"/>
      <c r="B125" s="2"/>
      <c r="C125" s="47"/>
      <c r="D125" s="65"/>
      <c r="E125" s="65"/>
      <c r="F125" s="22"/>
      <c r="G125" s="47"/>
      <c r="H125" s="65"/>
      <c r="I125" s="65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x14ac:dyDescent="0.3">
      <c r="A126" s="2"/>
      <c r="B126" s="2"/>
      <c r="C126" s="47" t="s">
        <v>122</v>
      </c>
      <c r="D126" s="65" t="s">
        <v>36</v>
      </c>
      <c r="E126" s="65" t="str">
        <f>C40</f>
        <v>Kaksi vaiheinen liuotus</v>
      </c>
      <c r="F126" s="22" t="str">
        <f>C41</f>
        <v>Haihdutuskiteytys</v>
      </c>
      <c r="G126" s="22" t="str">
        <f>C42</f>
        <v>Jäädytyskiteytys</v>
      </c>
      <c r="H126" s="65" t="str">
        <f>C43</f>
        <v>Ioninvaihto</v>
      </c>
      <c r="I126" s="65" t="s">
        <v>150</v>
      </c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x14ac:dyDescent="0.3">
      <c r="A127" s="2"/>
      <c r="B127" s="2"/>
      <c r="C127" s="104">
        <v>0.1</v>
      </c>
      <c r="D127" s="65">
        <f>C127*$E$39</f>
        <v>575.67788640000003</v>
      </c>
      <c r="E127" s="65">
        <f>C127*$E$40</f>
        <v>670.05131040000003</v>
      </c>
      <c r="F127" s="65">
        <f>C127*$E$41</f>
        <v>839.92347360000008</v>
      </c>
      <c r="G127" s="65">
        <f>C127*$E$42</f>
        <v>707.80067999999994</v>
      </c>
      <c r="H127" s="65">
        <f>C127*$E$43</f>
        <v>773.86207679999995</v>
      </c>
      <c r="I127" s="65" t="s">
        <v>32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x14ac:dyDescent="0.3">
      <c r="A128" s="2"/>
      <c r="B128" s="2"/>
      <c r="C128" s="104">
        <v>0.2</v>
      </c>
      <c r="D128" s="65">
        <f t="shared" ref="D128:D136" si="32">C128*$E$39</f>
        <v>1151.3557728000001</v>
      </c>
      <c r="E128" s="65">
        <f t="shared" ref="E128:E136" si="33">C128*$E$40</f>
        <v>1340.1026208000001</v>
      </c>
      <c r="F128" s="65">
        <f t="shared" ref="F128:F136" si="34">C128*$E$41</f>
        <v>1679.8469472000002</v>
      </c>
      <c r="G128" s="65">
        <f t="shared" ref="G128:G136" si="35">C128*$E$42</f>
        <v>1415.6013599999999</v>
      </c>
      <c r="H128" s="65">
        <f t="shared" ref="H128:H136" si="36">C128*$E$43</f>
        <v>1547.7241535999999</v>
      </c>
      <c r="I128" s="65" t="s">
        <v>32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x14ac:dyDescent="0.3">
      <c r="A129" s="2"/>
      <c r="B129" s="2"/>
      <c r="C129" s="104">
        <v>0.3</v>
      </c>
      <c r="D129" s="65">
        <f t="shared" si="32"/>
        <v>1727.0336591999999</v>
      </c>
      <c r="E129" s="65">
        <f t="shared" si="33"/>
        <v>2010.1539311999998</v>
      </c>
      <c r="F129" s="65">
        <f t="shared" si="34"/>
        <v>2519.7704208</v>
      </c>
      <c r="G129" s="65">
        <f t="shared" si="35"/>
        <v>2123.4020399999995</v>
      </c>
      <c r="H129" s="65">
        <f t="shared" si="36"/>
        <v>2321.5862303999997</v>
      </c>
      <c r="I129" s="65" t="s">
        <v>32</v>
      </c>
      <c r="J129" s="2"/>
      <c r="K129" s="2"/>
      <c r="L129" s="47"/>
      <c r="M129" s="22"/>
      <c r="N129" s="22"/>
      <c r="O129" s="22"/>
      <c r="P129" s="47"/>
      <c r="Q129" s="2"/>
      <c r="R129" s="2"/>
      <c r="S129" s="2"/>
      <c r="T129" s="2"/>
      <c r="U129" s="2"/>
      <c r="V129" s="2"/>
      <c r="W129" s="2"/>
      <c r="X129" s="2"/>
      <c r="Y129" s="2"/>
    </row>
    <row r="130" spans="1:25" x14ac:dyDescent="0.3">
      <c r="A130" s="2"/>
      <c r="B130" s="2"/>
      <c r="C130" s="104">
        <v>0.4</v>
      </c>
      <c r="D130" s="65">
        <f t="shared" si="32"/>
        <v>2302.7115456000001</v>
      </c>
      <c r="E130" s="65">
        <f t="shared" si="33"/>
        <v>2680.2052416000001</v>
      </c>
      <c r="F130" s="65">
        <f t="shared" si="34"/>
        <v>3359.6938944000003</v>
      </c>
      <c r="G130" s="65">
        <f t="shared" si="35"/>
        <v>2831.2027199999998</v>
      </c>
      <c r="H130" s="65">
        <f t="shared" si="36"/>
        <v>3095.4483071999998</v>
      </c>
      <c r="I130" s="65" t="s">
        <v>32</v>
      </c>
      <c r="J130" s="2"/>
      <c r="K130" s="2"/>
      <c r="L130" s="2" t="s">
        <v>137</v>
      </c>
      <c r="M130" s="2"/>
      <c r="N130" s="2"/>
      <c r="O130" s="22"/>
      <c r="P130" s="47"/>
      <c r="Q130" s="2"/>
      <c r="R130" s="93"/>
      <c r="S130" s="2"/>
      <c r="T130" s="2"/>
      <c r="U130" s="2"/>
      <c r="V130" s="2"/>
      <c r="W130" s="2"/>
      <c r="X130" s="2"/>
      <c r="Y130" s="2"/>
    </row>
    <row r="131" spans="1:25" x14ac:dyDescent="0.3">
      <c r="A131" s="2"/>
      <c r="B131" s="2"/>
      <c r="C131" s="104">
        <v>0.5</v>
      </c>
      <c r="D131" s="65">
        <f t="shared" si="32"/>
        <v>2878.3894319999999</v>
      </c>
      <c r="E131" s="65">
        <f t="shared" si="33"/>
        <v>3350.2565519999998</v>
      </c>
      <c r="F131" s="65">
        <f t="shared" si="34"/>
        <v>4199.6173680000002</v>
      </c>
      <c r="G131" s="65">
        <f t="shared" si="35"/>
        <v>3539.0033999999996</v>
      </c>
      <c r="H131" s="65">
        <f t="shared" si="36"/>
        <v>3869.3103839999994</v>
      </c>
      <c r="I131" s="65" t="s">
        <v>32</v>
      </c>
      <c r="J131" s="2"/>
      <c r="K131" s="2"/>
      <c r="L131" s="62" t="s">
        <v>109</v>
      </c>
      <c r="M131" s="117">
        <v>2</v>
      </c>
      <c r="N131" s="118" t="s">
        <v>77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x14ac:dyDescent="0.3">
      <c r="A132" s="2"/>
      <c r="B132" s="2"/>
      <c r="C132" s="104">
        <v>0.6</v>
      </c>
      <c r="D132" s="65">
        <f t="shared" si="32"/>
        <v>3454.0673183999997</v>
      </c>
      <c r="E132" s="65">
        <f t="shared" si="33"/>
        <v>4020.3078623999995</v>
      </c>
      <c r="F132" s="65">
        <f t="shared" si="34"/>
        <v>5039.5408416</v>
      </c>
      <c r="G132" s="65">
        <f t="shared" si="35"/>
        <v>4246.804079999999</v>
      </c>
      <c r="H132" s="65">
        <f t="shared" si="36"/>
        <v>4643.1724607999995</v>
      </c>
      <c r="I132" s="65" t="s">
        <v>32</v>
      </c>
      <c r="J132" s="2"/>
      <c r="K132" s="2"/>
      <c r="L132" s="49" t="s">
        <v>75</v>
      </c>
      <c r="M132" s="18">
        <v>7.0000000000000007E-2</v>
      </c>
      <c r="N132" s="19" t="s">
        <v>1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x14ac:dyDescent="0.3">
      <c r="A133" s="2"/>
      <c r="B133" s="2"/>
      <c r="C133" s="104">
        <v>0.7</v>
      </c>
      <c r="D133" s="65">
        <f t="shared" si="32"/>
        <v>4029.7452047999996</v>
      </c>
      <c r="E133" s="65">
        <f t="shared" si="33"/>
        <v>4690.3591727999992</v>
      </c>
      <c r="F133" s="65">
        <f t="shared" si="34"/>
        <v>5879.4643151999999</v>
      </c>
      <c r="G133" s="65">
        <f t="shared" si="35"/>
        <v>4954.6047599999993</v>
      </c>
      <c r="H133" s="65">
        <f t="shared" si="36"/>
        <v>5417.0345375999987</v>
      </c>
      <c r="I133" s="65" t="s">
        <v>32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x14ac:dyDescent="0.3">
      <c r="A134" s="2"/>
      <c r="B134" s="2"/>
      <c r="C134" s="104">
        <v>0.8</v>
      </c>
      <c r="D134" s="65">
        <f t="shared" si="32"/>
        <v>4605.4230912000003</v>
      </c>
      <c r="E134" s="65">
        <f t="shared" si="33"/>
        <v>5360.4104832000003</v>
      </c>
      <c r="F134" s="65">
        <f t="shared" si="34"/>
        <v>6719.3877888000006</v>
      </c>
      <c r="G134" s="65">
        <f t="shared" si="35"/>
        <v>5662.4054399999995</v>
      </c>
      <c r="H134" s="65">
        <f t="shared" si="36"/>
        <v>6190.8966143999996</v>
      </c>
      <c r="I134" s="65" t="s">
        <v>32</v>
      </c>
      <c r="J134" s="2"/>
      <c r="K134" s="2"/>
      <c r="L134" s="74"/>
      <c r="M134" s="105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x14ac:dyDescent="0.3">
      <c r="A135" s="2"/>
      <c r="B135" s="2"/>
      <c r="C135" s="104">
        <v>0.9</v>
      </c>
      <c r="D135" s="65">
        <f t="shared" si="32"/>
        <v>5181.1009776000001</v>
      </c>
      <c r="E135" s="65">
        <f t="shared" si="33"/>
        <v>6030.4617935999995</v>
      </c>
      <c r="F135" s="65">
        <f t="shared" si="34"/>
        <v>7559.3112624000005</v>
      </c>
      <c r="G135" s="65">
        <f t="shared" si="35"/>
        <v>6370.2061199999998</v>
      </c>
      <c r="H135" s="65">
        <f t="shared" si="36"/>
        <v>6964.7586911999988</v>
      </c>
      <c r="I135" s="65" t="s">
        <v>32</v>
      </c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x14ac:dyDescent="0.3">
      <c r="A136" s="2"/>
      <c r="B136" s="2"/>
      <c r="C136" s="104">
        <v>1</v>
      </c>
      <c r="D136" s="65">
        <f t="shared" si="32"/>
        <v>5756.7788639999999</v>
      </c>
      <c r="E136" s="65">
        <f t="shared" si="33"/>
        <v>6700.5131039999997</v>
      </c>
      <c r="F136" s="65">
        <f t="shared" si="34"/>
        <v>8399.2347360000003</v>
      </c>
      <c r="G136" s="65">
        <f t="shared" si="35"/>
        <v>7078.0067999999992</v>
      </c>
      <c r="H136" s="65">
        <f t="shared" si="36"/>
        <v>7738.6207679999989</v>
      </c>
      <c r="I136" s="65" t="s">
        <v>32</v>
      </c>
      <c r="J136" s="2"/>
      <c r="K136" s="2"/>
      <c r="L136" s="9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9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x14ac:dyDescent="0.3">
      <c r="A138" s="2"/>
      <c r="B138" s="2"/>
      <c r="C138" s="2" t="s">
        <v>123</v>
      </c>
      <c r="D138" s="94" t="s">
        <v>36</v>
      </c>
      <c r="E138" s="86" t="str">
        <f>C40</f>
        <v>Kaksi vaiheinen liuotus</v>
      </c>
      <c r="F138" s="86" t="str">
        <f>C41</f>
        <v>Haihdutuskiteytys</v>
      </c>
      <c r="G138" s="86" t="str">
        <f>C42</f>
        <v>Jäädytyskiteytys</v>
      </c>
      <c r="H138" s="86" t="str">
        <f>C43</f>
        <v>Ioninvaihto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x14ac:dyDescent="0.3">
      <c r="A139" s="2"/>
      <c r="B139" s="2"/>
      <c r="C139" s="104">
        <v>0.1</v>
      </c>
      <c r="D139" s="52">
        <f>D127/1000*($I$47/100/$J$53*$I$39+$I$48/100/$J$54*$I$40+$I$49/100/$J$55*$I$41)*$D$104</f>
        <v>371304.38508118974</v>
      </c>
      <c r="E139" s="52">
        <f>E127/1000*($I$47/100/$J$53*$I$39+$I$48/100/$J$54*$I$40+$I$49/100/$J$55*$I$41)*$D$104</f>
        <v>432173.95640597492</v>
      </c>
      <c r="F139" s="52">
        <f>F127/1000*($I$47/100/$J$53*$I$39+$I$48/100/$J$54*$I$40+$I$49/100/$J$55*$I$41)*$D$104</f>
        <v>541739.18479058833</v>
      </c>
      <c r="G139" s="52">
        <f>G127/1000*($I$47/100/$J$53*$I$39+$I$48/100/$J$54*$I$40+$I$49/100/$J$55*$I$41)*$D$104</f>
        <v>456521.78493588901</v>
      </c>
      <c r="H139" s="52">
        <f>H127/1000*($I$47/100/$J$53*$I$39+$I$48/100/$J$54*$I$40+$I$49/100/$J$55*$I$41)*$D$104</f>
        <v>499130.48486323864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x14ac:dyDescent="0.3">
      <c r="A140" s="2"/>
      <c r="B140" s="2"/>
      <c r="C140" s="104">
        <v>0.2</v>
      </c>
      <c r="D140" s="52">
        <f t="shared" ref="D140:H148" si="37">D128/1000*($I$47/100/$J$53*$I$39+$I$48/100/$J$54*$I$40+$I$49/100/$J$55*$I$41)*$D$104</f>
        <v>742608.77016237949</v>
      </c>
      <c r="E140" s="52">
        <f t="shared" si="37"/>
        <v>864347.91281194985</v>
      </c>
      <c r="F140" s="52">
        <f t="shared" si="37"/>
        <v>1083478.3695811767</v>
      </c>
      <c r="G140" s="52">
        <f t="shared" si="37"/>
        <v>913043.56987177802</v>
      </c>
      <c r="H140" s="52">
        <f t="shared" si="37"/>
        <v>998260.96972647728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x14ac:dyDescent="0.3">
      <c r="A141" s="2"/>
      <c r="B141" s="2"/>
      <c r="C141" s="104">
        <v>0.3</v>
      </c>
      <c r="D141" s="52">
        <f t="shared" si="37"/>
        <v>1113913.1552435693</v>
      </c>
      <c r="E141" s="52">
        <f t="shared" si="37"/>
        <v>1296521.8692179245</v>
      </c>
      <c r="F141" s="52">
        <f t="shared" si="37"/>
        <v>1625217.5543717649</v>
      </c>
      <c r="G141" s="52">
        <f t="shared" si="37"/>
        <v>1369565.3548076667</v>
      </c>
      <c r="H141" s="52">
        <f t="shared" si="37"/>
        <v>1497391.4545897159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x14ac:dyDescent="0.3">
      <c r="A142" s="2"/>
      <c r="B142" s="2"/>
      <c r="C142" s="104">
        <v>0.4</v>
      </c>
      <c r="D142" s="52">
        <f t="shared" si="37"/>
        <v>1485217.540324759</v>
      </c>
      <c r="E142" s="52">
        <f t="shared" si="37"/>
        <v>1728695.8256238997</v>
      </c>
      <c r="F142" s="52">
        <f t="shared" si="37"/>
        <v>2166956.7391623533</v>
      </c>
      <c r="G142" s="52">
        <f t="shared" si="37"/>
        <v>1826087.139743556</v>
      </c>
      <c r="H142" s="52">
        <f t="shared" si="37"/>
        <v>1996521.9394529546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x14ac:dyDescent="0.3">
      <c r="A143" s="2"/>
      <c r="B143" s="2"/>
      <c r="C143" s="104">
        <v>0.5</v>
      </c>
      <c r="D143" s="52">
        <f t="shared" si="37"/>
        <v>1856521.9254059487</v>
      </c>
      <c r="E143" s="52">
        <f t="shared" si="37"/>
        <v>2160869.7820298746</v>
      </c>
      <c r="F143" s="52">
        <f t="shared" si="37"/>
        <v>2708695.9239529413</v>
      </c>
      <c r="G143" s="52">
        <f t="shared" si="37"/>
        <v>2282608.9246794446</v>
      </c>
      <c r="H143" s="52">
        <f t="shared" si="37"/>
        <v>2495652.424316193</v>
      </c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x14ac:dyDescent="0.3">
      <c r="A144" s="2"/>
      <c r="B144" s="2"/>
      <c r="C144" s="104">
        <v>0.6</v>
      </c>
      <c r="D144" s="52">
        <f t="shared" si="37"/>
        <v>2227826.3104871386</v>
      </c>
      <c r="E144" s="52">
        <f t="shared" si="37"/>
        <v>2593043.7384358491</v>
      </c>
      <c r="F144" s="52">
        <f t="shared" si="37"/>
        <v>3250435.1087435298</v>
      </c>
      <c r="G144" s="52">
        <f t="shared" si="37"/>
        <v>2739130.7096153335</v>
      </c>
      <c r="H144" s="52">
        <f t="shared" si="37"/>
        <v>2994782.9091794319</v>
      </c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7" x14ac:dyDescent="0.3">
      <c r="A145" s="2"/>
      <c r="B145" s="2"/>
      <c r="C145" s="104">
        <v>0.7</v>
      </c>
      <c r="D145" s="52">
        <f t="shared" si="37"/>
        <v>2599130.6955683273</v>
      </c>
      <c r="E145" s="52">
        <f t="shared" si="37"/>
        <v>3025217.694841824</v>
      </c>
      <c r="F145" s="52">
        <f t="shared" si="37"/>
        <v>3792174.2935341178</v>
      </c>
      <c r="G145" s="52">
        <f t="shared" si="37"/>
        <v>3195652.4945512228</v>
      </c>
      <c r="H145" s="52">
        <f t="shared" si="37"/>
        <v>3493913.3940426693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7" x14ac:dyDescent="0.3">
      <c r="A146" s="2"/>
      <c r="B146" s="2"/>
      <c r="C146" s="104">
        <v>0.8</v>
      </c>
      <c r="D146" s="52">
        <f t="shared" si="37"/>
        <v>2970435.0806495179</v>
      </c>
      <c r="E146" s="52">
        <f>E134/1000*($I$47/100/$J$53*$I$39+$I$48/100/$J$54*$I$40+$I$49/100/$J$55*$I$41)*$D$104</f>
        <v>3457391.6512477994</v>
      </c>
      <c r="F146" s="52">
        <f t="shared" si="37"/>
        <v>4333913.4783247067</v>
      </c>
      <c r="G146" s="52">
        <f t="shared" si="37"/>
        <v>3652174.2794871121</v>
      </c>
      <c r="H146" s="52">
        <f t="shared" si="37"/>
        <v>3993043.8789059091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7" x14ac:dyDescent="0.3">
      <c r="A147" s="2"/>
      <c r="B147" s="2"/>
      <c r="C147" s="104">
        <v>0.9</v>
      </c>
      <c r="D147" s="52">
        <f t="shared" si="37"/>
        <v>3341739.4657307072</v>
      </c>
      <c r="E147" s="52">
        <f t="shared" ref="E147" si="38">E135/1000*($I$47/100/$J$53*$I$39+$I$48/100/$J$54*$I$40+$I$49/100/$J$55*$I$41)*$D$104</f>
        <v>3889565.6076537743</v>
      </c>
      <c r="F147" s="52">
        <f t="shared" si="37"/>
        <v>4875652.6631152947</v>
      </c>
      <c r="G147" s="52">
        <f t="shared" si="37"/>
        <v>4108696.0644230004</v>
      </c>
      <c r="H147" s="52">
        <f t="shared" si="37"/>
        <v>4492174.3637691466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7" x14ac:dyDescent="0.3">
      <c r="A148" s="2"/>
      <c r="B148" s="2"/>
      <c r="C148" s="104">
        <v>1</v>
      </c>
      <c r="D148" s="52">
        <f t="shared" si="37"/>
        <v>3713043.8508118973</v>
      </c>
      <c r="E148" s="52">
        <f t="shared" ref="E148" si="39">E136/1000*($I$47/100/$J$53*$I$39+$I$48/100/$J$54*$I$40+$I$49/100/$J$55*$I$41)*$D$104</f>
        <v>4321739.5640597492</v>
      </c>
      <c r="F148" s="52">
        <f t="shared" si="37"/>
        <v>5417391.8479058826</v>
      </c>
      <c r="G148" s="52">
        <f t="shared" si="37"/>
        <v>4565217.8493588893</v>
      </c>
      <c r="H148" s="52">
        <f t="shared" si="37"/>
        <v>4991304.848632386</v>
      </c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7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7" x14ac:dyDescent="0.3">
      <c r="A150" s="2"/>
      <c r="B150" s="2"/>
      <c r="C150" s="2" t="s">
        <v>120</v>
      </c>
      <c r="D150" s="94" t="str">
        <f>D126</f>
        <v>Liuotus</v>
      </c>
      <c r="E150" s="86" t="str">
        <f>C40</f>
        <v>Kaksi vaiheinen liuotus</v>
      </c>
      <c r="F150" s="86" t="str">
        <f>C41</f>
        <v>Haihdutuskiteytys</v>
      </c>
      <c r="G150" s="86" t="str">
        <f>C42</f>
        <v>Jäädytyskiteytys</v>
      </c>
      <c r="H150" s="86" t="str">
        <f>C43</f>
        <v>Ioninvaihto</v>
      </c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7" x14ac:dyDescent="0.3">
      <c r="A151" s="2"/>
      <c r="B151" s="2"/>
      <c r="C151" s="104">
        <v>0.1</v>
      </c>
      <c r="D151" s="105">
        <f t="shared" ref="D151:H160" si="40">NPV($M$132,D139,D139)</f>
        <v>671325.07390869304</v>
      </c>
      <c r="E151" s="105">
        <f t="shared" si="40"/>
        <v>781378.36471339688</v>
      </c>
      <c r="F151" s="105">
        <f t="shared" si="40"/>
        <v>979474.28816186381</v>
      </c>
      <c r="G151" s="105">
        <f t="shared" si="40"/>
        <v>825399.68103527837</v>
      </c>
      <c r="H151" s="105">
        <f t="shared" si="40"/>
        <v>902436.98459857097</v>
      </c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7" x14ac:dyDescent="0.3">
      <c r="A152" s="2"/>
      <c r="B152" s="2"/>
      <c r="C152" s="104">
        <v>0.2</v>
      </c>
      <c r="D152" s="105">
        <f t="shared" si="40"/>
        <v>1342650.1478173861</v>
      </c>
      <c r="E152" s="105">
        <f t="shared" si="40"/>
        <v>1562756.7294267938</v>
      </c>
      <c r="F152" s="105">
        <f t="shared" si="40"/>
        <v>1958948.5763237276</v>
      </c>
      <c r="G152" s="105">
        <f t="shared" si="40"/>
        <v>1650799.3620705567</v>
      </c>
      <c r="H152" s="105">
        <f t="shared" si="40"/>
        <v>1804873.9691971419</v>
      </c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7" x14ac:dyDescent="0.3">
      <c r="A153" s="2"/>
      <c r="B153" s="2"/>
      <c r="C153" s="104">
        <v>0.3</v>
      </c>
      <c r="D153" s="105">
        <f t="shared" si="40"/>
        <v>2013975.2217260792</v>
      </c>
      <c r="E153" s="105">
        <f t="shared" si="40"/>
        <v>2344135.0941401902</v>
      </c>
      <c r="F153" s="105">
        <f t="shared" si="40"/>
        <v>2938422.8644855912</v>
      </c>
      <c r="G153" s="105">
        <f t="shared" si="40"/>
        <v>2476199.0431058346</v>
      </c>
      <c r="H153" s="105">
        <f t="shared" si="40"/>
        <v>2707310.9537957129</v>
      </c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x14ac:dyDescent="0.3">
      <c r="A154" s="2"/>
      <c r="B154" s="2"/>
      <c r="C154" s="104">
        <v>0.4</v>
      </c>
      <c r="D154" s="105">
        <f t="shared" si="40"/>
        <v>2685300.2956347722</v>
      </c>
      <c r="E154" s="105">
        <f t="shared" si="40"/>
        <v>3125513.4588535875</v>
      </c>
      <c r="F154" s="105">
        <f t="shared" si="40"/>
        <v>3917897.1526474552</v>
      </c>
      <c r="G154" s="105">
        <f t="shared" si="40"/>
        <v>3301598.7241411135</v>
      </c>
      <c r="H154" s="105">
        <f t="shared" si="40"/>
        <v>3609747.9383942839</v>
      </c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x14ac:dyDescent="0.3">
      <c r="A155" s="2"/>
      <c r="B155" s="2"/>
      <c r="C155" s="104">
        <v>0.5</v>
      </c>
      <c r="D155" s="105">
        <f t="shared" si="40"/>
        <v>3356625.3695434653</v>
      </c>
      <c r="E155" s="105">
        <f t="shared" si="40"/>
        <v>3906891.8235669844</v>
      </c>
      <c r="F155" s="105">
        <f t="shared" si="40"/>
        <v>4897371.4408093169</v>
      </c>
      <c r="G155" s="105">
        <f t="shared" si="40"/>
        <v>4126998.4051763904</v>
      </c>
      <c r="H155" s="105">
        <f t="shared" si="40"/>
        <v>4512184.9229928534</v>
      </c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x14ac:dyDescent="0.3">
      <c r="A156" s="2"/>
      <c r="B156" s="2"/>
      <c r="C156" s="104">
        <v>0.6</v>
      </c>
      <c r="D156" s="105">
        <f t="shared" si="40"/>
        <v>4027950.4434521585</v>
      </c>
      <c r="E156" s="105">
        <f t="shared" si="40"/>
        <v>4688270.1882803803</v>
      </c>
      <c r="F156" s="105">
        <f t="shared" si="40"/>
        <v>5876845.7289711824</v>
      </c>
      <c r="G156" s="105">
        <f t="shared" si="40"/>
        <v>4952398.0862116693</v>
      </c>
      <c r="H156" s="105">
        <f t="shared" si="40"/>
        <v>5414621.9075914258</v>
      </c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x14ac:dyDescent="0.3">
      <c r="A157" s="2"/>
      <c r="B157" s="2"/>
      <c r="C157" s="104">
        <v>0.7</v>
      </c>
      <c r="D157" s="105">
        <f t="shared" si="40"/>
        <v>4699275.5173608502</v>
      </c>
      <c r="E157" s="105">
        <f t="shared" si="40"/>
        <v>5469648.5529937772</v>
      </c>
      <c r="F157" s="105">
        <f t="shared" si="40"/>
        <v>6856320.017133045</v>
      </c>
      <c r="G157" s="105">
        <f t="shared" si="40"/>
        <v>5777797.7672469476</v>
      </c>
      <c r="H157" s="105">
        <f t="shared" si="40"/>
        <v>6317058.8921899945</v>
      </c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x14ac:dyDescent="0.3">
      <c r="A158" s="2"/>
      <c r="B158" s="2"/>
      <c r="C158" s="104">
        <v>0.8</v>
      </c>
      <c r="D158" s="105">
        <f t="shared" si="40"/>
        <v>5370600.5912695443</v>
      </c>
      <c r="E158" s="105">
        <f t="shared" si="40"/>
        <v>6251026.917707175</v>
      </c>
      <c r="F158" s="105">
        <f t="shared" si="40"/>
        <v>7835794.3052949104</v>
      </c>
      <c r="G158" s="105">
        <f t="shared" si="40"/>
        <v>6603197.4482822269</v>
      </c>
      <c r="H158" s="105">
        <f t="shared" si="40"/>
        <v>7219495.8767885678</v>
      </c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x14ac:dyDescent="0.3">
      <c r="A159" s="2"/>
      <c r="B159" s="2"/>
      <c r="C159" s="104">
        <v>0.9</v>
      </c>
      <c r="D159" s="105">
        <f t="shared" si="40"/>
        <v>6041925.6651782366</v>
      </c>
      <c r="E159" s="105">
        <f t="shared" si="40"/>
        <v>7032405.2824205719</v>
      </c>
      <c r="F159" s="105">
        <f t="shared" si="40"/>
        <v>8815268.5934567731</v>
      </c>
      <c r="G159" s="105">
        <f t="shared" si="40"/>
        <v>7428597.1293175044</v>
      </c>
      <c r="H159" s="105">
        <f t="shared" si="40"/>
        <v>8121932.8613871373</v>
      </c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3">
      <c r="A160" s="2"/>
      <c r="B160" s="2"/>
      <c r="C160" s="104">
        <v>1</v>
      </c>
      <c r="D160" s="105">
        <f t="shared" si="40"/>
        <v>6713250.7390869306</v>
      </c>
      <c r="E160" s="105">
        <f t="shared" si="40"/>
        <v>7813783.6471339688</v>
      </c>
      <c r="F160" s="105">
        <f t="shared" si="40"/>
        <v>9794742.8816186339</v>
      </c>
      <c r="G160" s="105">
        <f t="shared" si="40"/>
        <v>8253996.8103527809</v>
      </c>
      <c r="H160" s="105">
        <f t="shared" si="40"/>
        <v>9024369.8459857069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</sheetData>
  <phoneticPr fontId="7" type="noConversion"/>
  <conditionalFormatting sqref="E14">
    <cfRule type="cellIs" dxfId="113" priority="202" operator="lessThan">
      <formula>$D$3</formula>
    </cfRule>
    <cfRule type="cellIs" dxfId="112" priority="203" operator="greaterThan">
      <formula>$D$3</formula>
    </cfRule>
  </conditionalFormatting>
  <conditionalFormatting sqref="E15">
    <cfRule type="cellIs" dxfId="111" priority="204" operator="lessThan">
      <formula>$D$4</formula>
    </cfRule>
    <cfRule type="cellIs" dxfId="110" priority="205" operator="greaterThan">
      <formula>$D$4</formula>
    </cfRule>
  </conditionalFormatting>
  <conditionalFormatting sqref="E16">
    <cfRule type="cellIs" dxfId="109" priority="206" operator="lessThan">
      <formula>$D$5</formula>
    </cfRule>
    <cfRule type="cellIs" dxfId="108" priority="207" operator="greaterThan">
      <formula>$D$5</formula>
    </cfRule>
  </conditionalFormatting>
  <conditionalFormatting sqref="E17">
    <cfRule type="cellIs" dxfId="107" priority="208" operator="lessThan">
      <formula>$D$6</formula>
    </cfRule>
    <cfRule type="cellIs" dxfId="106" priority="209" operator="greaterThan">
      <formula>$D$6</formula>
    </cfRule>
  </conditionalFormatting>
  <conditionalFormatting sqref="E18">
    <cfRule type="cellIs" dxfId="105" priority="210" operator="lessThan">
      <formula>$D$7</formula>
    </cfRule>
    <cfRule type="cellIs" dxfId="104" priority="211" operator="greaterThan">
      <formula>$D$7</formula>
    </cfRule>
  </conditionalFormatting>
  <conditionalFormatting sqref="E19">
    <cfRule type="cellIs" dxfId="103" priority="212" operator="lessThan">
      <formula>$D$8</formula>
    </cfRule>
    <cfRule type="cellIs" dxfId="102" priority="213" operator="greaterThan">
      <formula>$D$8</formula>
    </cfRule>
  </conditionalFormatting>
  <conditionalFormatting sqref="E20">
    <cfRule type="cellIs" dxfId="101" priority="214" operator="lessThan">
      <formula>$D$9</formula>
    </cfRule>
    <cfRule type="cellIs" dxfId="100" priority="215" operator="greaterThan">
      <formula>$D$9</formula>
    </cfRule>
  </conditionalFormatting>
  <conditionalFormatting sqref="E21">
    <cfRule type="cellIs" dxfId="99" priority="216" operator="lessThan">
      <formula>$D$10</formula>
    </cfRule>
    <cfRule type="cellIs" dxfId="98" priority="217" operator="greaterThan">
      <formula>$D$10</formula>
    </cfRule>
  </conditionalFormatting>
  <conditionalFormatting sqref="E22">
    <cfRule type="cellIs" dxfId="97" priority="218" operator="lessThan">
      <formula>$D$11</formula>
    </cfRule>
    <cfRule type="cellIs" dxfId="96" priority="219" operator="greaterThan">
      <formula>$D$11</formula>
    </cfRule>
  </conditionalFormatting>
  <conditionalFormatting sqref="F14">
    <cfRule type="cellIs" dxfId="94" priority="221" operator="greaterThan">
      <formula>$E$3</formula>
    </cfRule>
    <cfRule type="cellIs" dxfId="93" priority="220" operator="lessThan">
      <formula>$E$3</formula>
    </cfRule>
  </conditionalFormatting>
  <conditionalFormatting sqref="F15">
    <cfRule type="cellIs" dxfId="92" priority="223" operator="greaterThan">
      <formula>$E$4</formula>
    </cfRule>
    <cfRule type="cellIs" dxfId="91" priority="222" operator="lessThan">
      <formula>$E$4</formula>
    </cfRule>
  </conditionalFormatting>
  <conditionalFormatting sqref="F16">
    <cfRule type="cellIs" dxfId="90" priority="224" operator="lessThan">
      <formula>$E$5</formula>
    </cfRule>
    <cfRule type="cellIs" dxfId="89" priority="225" operator="greaterThan">
      <formula>$E$5</formula>
    </cfRule>
  </conditionalFormatting>
  <conditionalFormatting sqref="F17">
    <cfRule type="cellIs" dxfId="88" priority="226" operator="lessThan">
      <formula>$E$6</formula>
    </cfRule>
    <cfRule type="cellIs" dxfId="87" priority="227" operator="greaterThan">
      <formula>$E$6</formula>
    </cfRule>
  </conditionalFormatting>
  <conditionalFormatting sqref="F18">
    <cfRule type="cellIs" dxfId="86" priority="228" operator="lessThan">
      <formula>$E$7</formula>
    </cfRule>
    <cfRule type="cellIs" dxfId="85" priority="229" operator="greaterThan">
      <formula>$E$7</formula>
    </cfRule>
  </conditionalFormatting>
  <conditionalFormatting sqref="F19">
    <cfRule type="cellIs" dxfId="84" priority="230" operator="lessThan">
      <formula>$E$8</formula>
    </cfRule>
    <cfRule type="cellIs" dxfId="83" priority="231" operator="greaterThan">
      <formula>$E$8</formula>
    </cfRule>
  </conditionalFormatting>
  <conditionalFormatting sqref="F20">
    <cfRule type="cellIs" dxfId="82" priority="232" operator="lessThan">
      <formula>$E$9</formula>
    </cfRule>
    <cfRule type="cellIs" dxfId="81" priority="233" operator="greaterThan">
      <formula>$E$9</formula>
    </cfRule>
  </conditionalFormatting>
  <conditionalFormatting sqref="F21">
    <cfRule type="cellIs" dxfId="80" priority="234" operator="lessThan">
      <formula>$E$10</formula>
    </cfRule>
    <cfRule type="cellIs" dxfId="79" priority="235" operator="greaterThan">
      <formula>$E$10</formula>
    </cfRule>
  </conditionalFormatting>
  <conditionalFormatting sqref="F22">
    <cfRule type="cellIs" dxfId="78" priority="236" operator="lessThan">
      <formula>$E$11</formula>
    </cfRule>
    <cfRule type="cellIs" dxfId="77" priority="237" operator="greaterThan">
      <formula>$E$11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214E1-7F5F-488E-9F43-5C9E818273F0}">
  <dimension ref="C1:H67"/>
  <sheetViews>
    <sheetView zoomScale="85" zoomScaleNormal="85" workbookViewId="0">
      <selection activeCell="I7" sqref="I7"/>
    </sheetView>
  </sheetViews>
  <sheetFormatPr defaultRowHeight="14.5" x14ac:dyDescent="0.35"/>
  <cols>
    <col min="3" max="3" width="9.81640625" customWidth="1"/>
    <col min="4" max="4" width="12.36328125" customWidth="1"/>
    <col min="5" max="5" width="24.36328125" bestFit="1" customWidth="1"/>
    <col min="6" max="6" width="19.453125" bestFit="1" customWidth="1"/>
    <col min="7" max="7" width="17.81640625" bestFit="1" customWidth="1"/>
    <col min="8" max="8" width="14" bestFit="1" customWidth="1"/>
  </cols>
  <sheetData>
    <row r="1" spans="3:8" x14ac:dyDescent="0.35">
      <c r="C1" t="s">
        <v>139</v>
      </c>
    </row>
    <row r="3" spans="3:8" x14ac:dyDescent="0.35">
      <c r="C3" s="114" t="s">
        <v>125</v>
      </c>
      <c r="D3" s="114" t="s">
        <v>128</v>
      </c>
      <c r="E3" s="114" t="s">
        <v>129</v>
      </c>
      <c r="F3" s="114" t="s">
        <v>130</v>
      </c>
      <c r="G3" s="114" t="s">
        <v>131</v>
      </c>
      <c r="H3" s="114" t="s">
        <v>132</v>
      </c>
    </row>
    <row r="4" spans="3:8" x14ac:dyDescent="0.35">
      <c r="C4" s="115">
        <v>0.1</v>
      </c>
      <c r="D4" s="116">
        <f>'Tehdas A'!D139</f>
        <v>470889.00050280622</v>
      </c>
      <c r="E4" s="116">
        <f>'Tehdas A'!E139</f>
        <v>548083.91861802037</v>
      </c>
      <c r="F4" s="116">
        <f>'Tehdas A'!F139</f>
        <v>687034.77122540574</v>
      </c>
      <c r="G4" s="116">
        <f>'Tehdas A'!G139</f>
        <v>578961.88586410601</v>
      </c>
      <c r="H4" s="116">
        <f>'Tehdas A'!H139</f>
        <v>632998.32854475593</v>
      </c>
    </row>
    <row r="5" spans="3:8" x14ac:dyDescent="0.35">
      <c r="C5" s="115">
        <v>0.3</v>
      </c>
      <c r="D5" s="116">
        <f>'Tehdas A'!D141</f>
        <v>1412667.0015084185</v>
      </c>
      <c r="E5" s="116">
        <f>'Tehdas A'!E141</f>
        <v>1644251.7558540609</v>
      </c>
      <c r="F5" s="116">
        <f>'Tehdas A'!F141</f>
        <v>2061104.3136762171</v>
      </c>
      <c r="G5" s="116">
        <f>'Tehdas A'!G141</f>
        <v>1736885.6575923178</v>
      </c>
      <c r="H5" s="116">
        <f>'Tehdas A'!H141</f>
        <v>1898994.9856342676</v>
      </c>
    </row>
    <row r="6" spans="3:8" x14ac:dyDescent="0.35">
      <c r="C6" s="115">
        <v>0.5</v>
      </c>
      <c r="D6" s="116">
        <f>'Tehdas A'!D143</f>
        <v>2354445.0025140308</v>
      </c>
      <c r="E6" s="116">
        <f>'Tehdas A'!E143</f>
        <v>2740419.5930901016</v>
      </c>
      <c r="F6" s="116">
        <f>'Tehdas A'!F143</f>
        <v>3435173.8561270284</v>
      </c>
      <c r="G6" s="116">
        <f>'Tehdas A'!G143</f>
        <v>2894809.4293205296</v>
      </c>
      <c r="H6" s="116">
        <f>'Tehdas A'!H143</f>
        <v>3164991.6427237792</v>
      </c>
    </row>
    <row r="7" spans="3:8" x14ac:dyDescent="0.35">
      <c r="C7" s="115">
        <v>0.7</v>
      </c>
      <c r="D7" s="116">
        <f>'Tehdas A'!D145</f>
        <v>3296223.0035196431</v>
      </c>
      <c r="E7" s="116">
        <f>'Tehdas A'!E145</f>
        <v>3836587.4303261423</v>
      </c>
      <c r="F7" s="116">
        <f>'Tehdas A'!F145</f>
        <v>4809243.3985778391</v>
      </c>
      <c r="G7" s="116">
        <f>'Tehdas A'!G145</f>
        <v>4052733.2010487416</v>
      </c>
      <c r="H7" s="116">
        <f>'Tehdas A'!H145</f>
        <v>4430988.2998132911</v>
      </c>
    </row>
    <row r="8" spans="3:8" x14ac:dyDescent="0.35">
      <c r="C8" s="115">
        <v>0.9</v>
      </c>
      <c r="D8" s="116">
        <f>'Tehdas A'!D147</f>
        <v>4238001.0045252554</v>
      </c>
      <c r="E8" s="116">
        <f>'Tehdas A'!E147</f>
        <v>4932755.2675621836</v>
      </c>
      <c r="F8" s="116">
        <f>'Tehdas A'!F147</f>
        <v>6183312.9410286527</v>
      </c>
      <c r="G8" s="116">
        <f>'Tehdas A'!G147</f>
        <v>5210656.9727769541</v>
      </c>
      <c r="H8" s="116">
        <f>'Tehdas A'!H147</f>
        <v>5696984.9569028029</v>
      </c>
    </row>
    <row r="10" spans="3:8" x14ac:dyDescent="0.35">
      <c r="C10" s="114" t="s">
        <v>126</v>
      </c>
      <c r="D10" s="114" t="s">
        <v>128</v>
      </c>
      <c r="E10" s="114" t="s">
        <v>129</v>
      </c>
      <c r="F10" s="114" t="s">
        <v>130</v>
      </c>
      <c r="G10" s="114" t="s">
        <v>131</v>
      </c>
      <c r="H10" s="114" t="s">
        <v>132</v>
      </c>
    </row>
    <row r="11" spans="3:8" x14ac:dyDescent="0.35">
      <c r="C11" s="115">
        <v>0.1</v>
      </c>
      <c r="D11" s="116">
        <f>'Tehdas B'!D139</f>
        <v>284833.35010935203</v>
      </c>
      <c r="E11" s="116">
        <f>'Tehdas B'!E139</f>
        <v>331527.34193055722</v>
      </c>
      <c r="F11" s="116">
        <f>'Tehdas B'!F139</f>
        <v>415576.52720872674</v>
      </c>
      <c r="G11" s="116">
        <f>'Tehdas B'!G139</f>
        <v>350204.93865903938</v>
      </c>
      <c r="H11" s="116">
        <f>'Tehdas B'!H139</f>
        <v>382890.73293388303</v>
      </c>
    </row>
    <row r="12" spans="3:8" x14ac:dyDescent="0.35">
      <c r="C12" s="115">
        <v>0.3</v>
      </c>
      <c r="D12" s="116">
        <f>'Tehdas B'!D141</f>
        <v>854500.05032805598</v>
      </c>
      <c r="E12" s="116">
        <f>'Tehdas B'!E141</f>
        <v>994582.02579167159</v>
      </c>
      <c r="F12" s="116">
        <f>'Tehdas B'!F141</f>
        <v>1246729.5816261799</v>
      </c>
      <c r="G12" s="116">
        <f>'Tehdas B'!G141</f>
        <v>1050614.815977118</v>
      </c>
      <c r="H12" s="116">
        <f>'Tehdas B'!H141</f>
        <v>1148672.198801649</v>
      </c>
    </row>
    <row r="13" spans="3:8" x14ac:dyDescent="0.35">
      <c r="C13" s="115">
        <v>0.5</v>
      </c>
      <c r="D13" s="116">
        <f>'Tehdas B'!D143</f>
        <v>1424166.7505467602</v>
      </c>
      <c r="E13" s="116">
        <f>'Tehdas B'!E143</f>
        <v>1657636.7096527861</v>
      </c>
      <c r="F13" s="116">
        <f>'Tehdas B'!F143</f>
        <v>2077882.6360436331</v>
      </c>
      <c r="G13" s="116">
        <f>'Tehdas B'!G143</f>
        <v>1751024.6932951966</v>
      </c>
      <c r="H13" s="116">
        <f>'Tehdas B'!H143</f>
        <v>1914453.664669415</v>
      </c>
    </row>
    <row r="14" spans="3:8" x14ac:dyDescent="0.35">
      <c r="C14" s="115">
        <v>0.7</v>
      </c>
      <c r="D14" s="116">
        <f>'Tehdas B'!D145</f>
        <v>1993833.450765464</v>
      </c>
      <c r="E14" s="116">
        <f>'Tehdas B'!E145</f>
        <v>2320691.3935139007</v>
      </c>
      <c r="F14" s="116">
        <f>'Tehdas B'!F145</f>
        <v>2909035.6904610866</v>
      </c>
      <c r="G14" s="116">
        <f>'Tehdas B'!G145</f>
        <v>2451434.5706132753</v>
      </c>
      <c r="H14" s="116">
        <f>'Tehdas B'!H145</f>
        <v>2680235.1305371807</v>
      </c>
    </row>
    <row r="15" spans="3:8" x14ac:dyDescent="0.35">
      <c r="C15" s="115">
        <v>0.9</v>
      </c>
      <c r="D15" s="116">
        <f>'Tehdas B'!D147</f>
        <v>2563500.1509841685</v>
      </c>
      <c r="E15" s="116">
        <f>'Tehdas B'!E147</f>
        <v>2983746.0773750157</v>
      </c>
      <c r="F15" s="116">
        <f>'Tehdas B'!F147</f>
        <v>3740188.7448785398</v>
      </c>
      <c r="G15" s="116">
        <f>'Tehdas B'!G147</f>
        <v>3151844.4479313544</v>
      </c>
      <c r="H15" s="116">
        <f>'Tehdas B'!H147</f>
        <v>3446016.5964049464</v>
      </c>
    </row>
    <row r="17" spans="3:8" x14ac:dyDescent="0.35">
      <c r="C17" s="114" t="s">
        <v>127</v>
      </c>
      <c r="D17" s="114" t="s">
        <v>128</v>
      </c>
      <c r="E17" s="114" t="s">
        <v>129</v>
      </c>
      <c r="F17" s="114" t="s">
        <v>130</v>
      </c>
      <c r="G17" s="114" t="s">
        <v>131</v>
      </c>
      <c r="H17" s="114" t="s">
        <v>132</v>
      </c>
    </row>
    <row r="18" spans="3:8" x14ac:dyDescent="0.35">
      <c r="C18" s="115">
        <v>0.1</v>
      </c>
      <c r="D18" s="116">
        <f>'Tehdas C'!D139</f>
        <v>371304.38508118974</v>
      </c>
      <c r="E18" s="116">
        <f>'Tehdas C'!E139</f>
        <v>432173.95640597492</v>
      </c>
      <c r="F18" s="116">
        <f>'Tehdas C'!F139</f>
        <v>541739.18479058833</v>
      </c>
      <c r="G18" s="116">
        <f>'Tehdas C'!G139</f>
        <v>456521.78493588901</v>
      </c>
      <c r="H18" s="116">
        <f>'Tehdas C'!H139</f>
        <v>499130.48486323864</v>
      </c>
    </row>
    <row r="19" spans="3:8" x14ac:dyDescent="0.35">
      <c r="C19" s="115">
        <v>0.3</v>
      </c>
      <c r="D19" s="116">
        <f>'Tehdas C'!D141</f>
        <v>1113913.1552435693</v>
      </c>
      <c r="E19" s="116">
        <f>'Tehdas C'!E141</f>
        <v>1296521.8692179245</v>
      </c>
      <c r="F19" s="116">
        <f>'Tehdas C'!F141</f>
        <v>1625217.5543717649</v>
      </c>
      <c r="G19" s="116">
        <f>'Tehdas C'!G141</f>
        <v>1369565.3548076667</v>
      </c>
      <c r="H19" s="116">
        <f>'Tehdas C'!H141</f>
        <v>1497391.4545897159</v>
      </c>
    </row>
    <row r="20" spans="3:8" x14ac:dyDescent="0.35">
      <c r="C20" s="115">
        <v>0.5</v>
      </c>
      <c r="D20" s="116">
        <f>'Tehdas C'!D143</f>
        <v>1856521.9254059487</v>
      </c>
      <c r="E20" s="116">
        <f>'Tehdas C'!E143</f>
        <v>2160869.7820298746</v>
      </c>
      <c r="F20" s="116">
        <f>'Tehdas C'!F143</f>
        <v>2708695.9239529413</v>
      </c>
      <c r="G20" s="116">
        <f>'Tehdas C'!G143</f>
        <v>2282608.9246794446</v>
      </c>
      <c r="H20" s="116">
        <f>'Tehdas C'!H143</f>
        <v>2495652.424316193</v>
      </c>
    </row>
    <row r="21" spans="3:8" x14ac:dyDescent="0.35">
      <c r="C21" s="115">
        <v>0.7</v>
      </c>
      <c r="D21" s="116">
        <f>'Tehdas C'!D145</f>
        <v>2599130.6955683273</v>
      </c>
      <c r="E21" s="116">
        <f>'Tehdas C'!E145</f>
        <v>3025217.694841824</v>
      </c>
      <c r="F21" s="116">
        <f>'Tehdas C'!F145</f>
        <v>3792174.2935341178</v>
      </c>
      <c r="G21" s="116">
        <f>'Tehdas C'!G145</f>
        <v>3195652.4945512228</v>
      </c>
      <c r="H21" s="116">
        <f>'Tehdas C'!H145</f>
        <v>3493913.3940426693</v>
      </c>
    </row>
    <row r="22" spans="3:8" x14ac:dyDescent="0.35">
      <c r="C22" s="115">
        <v>0.9</v>
      </c>
      <c r="D22" s="116">
        <f>'Tehdas C'!D147</f>
        <v>3341739.4657307072</v>
      </c>
      <c r="E22" s="116">
        <f>'Tehdas C'!E147</f>
        <v>3889565.6076537743</v>
      </c>
      <c r="F22" s="116">
        <f>'Tehdas C'!F147</f>
        <v>4875652.6631152947</v>
      </c>
      <c r="G22" s="116">
        <f>'Tehdas C'!G147</f>
        <v>4108696.0644230004</v>
      </c>
      <c r="H22" s="116">
        <f>'Tehdas C'!H147</f>
        <v>4492174.3637691466</v>
      </c>
    </row>
    <row r="24" spans="3:8" x14ac:dyDescent="0.35">
      <c r="C24" t="s">
        <v>140</v>
      </c>
    </row>
    <row r="26" spans="3:8" x14ac:dyDescent="0.35">
      <c r="C26" s="114" t="s">
        <v>148</v>
      </c>
      <c r="D26" s="114" t="s">
        <v>133</v>
      </c>
      <c r="E26" s="114" t="s">
        <v>134</v>
      </c>
      <c r="F26" s="114" t="s">
        <v>135</v>
      </c>
      <c r="G26" s="114" t="str">
        <f>G17</f>
        <v>Jäädytyskiteytys [€]</v>
      </c>
      <c r="H26" s="114" t="s">
        <v>136</v>
      </c>
    </row>
    <row r="27" spans="3:8" x14ac:dyDescent="0.35">
      <c r="C27" s="114" t="s">
        <v>125</v>
      </c>
      <c r="D27" s="116">
        <f>'Tehdas A'!E39</f>
        <v>7453.3573059839991</v>
      </c>
      <c r="E27" s="116">
        <f>'Tehdas A'!E40</f>
        <v>8675.2191594239994</v>
      </c>
      <c r="F27" s="116">
        <f>'Tehdas A'!E41</f>
        <v>10874.570495615999</v>
      </c>
      <c r="G27" s="116">
        <f>'Tehdas A'!E42</f>
        <v>9163.9639007999995</v>
      </c>
      <c r="H27" s="116">
        <f>'Tehdas A'!E43</f>
        <v>10019.267198207999</v>
      </c>
    </row>
    <row r="28" spans="3:8" x14ac:dyDescent="0.35">
      <c r="C28" s="114" t="s">
        <v>126</v>
      </c>
      <c r="D28" s="116">
        <f>'Tehdas B'!E39</f>
        <v>4645.2379443148802</v>
      </c>
      <c r="E28" s="116">
        <f>'Tehdas B'!E40</f>
        <v>5406.7523614156798</v>
      </c>
      <c r="F28" s="116">
        <f>'Tehdas B'!E41</f>
        <v>6777.4783121971195</v>
      </c>
      <c r="G28" s="116">
        <f>'Tehdas B'!E42</f>
        <v>5711.3581282559999</v>
      </c>
      <c r="H28" s="116">
        <f>'Tehdas B'!E43</f>
        <v>6244.4182202265592</v>
      </c>
    </row>
    <row r="29" spans="3:8" x14ac:dyDescent="0.35">
      <c r="C29" s="114" t="s">
        <v>127</v>
      </c>
      <c r="D29" s="116">
        <f>'Tehdas C'!$E$39</f>
        <v>5756.7788639999999</v>
      </c>
      <c r="E29" s="116">
        <f>'Tehdas C'!$E$40</f>
        <v>6700.5131039999997</v>
      </c>
      <c r="F29" s="116">
        <f>'Tehdas C'!$E$41</f>
        <v>8399.2347360000003</v>
      </c>
      <c r="G29" s="116">
        <f>'Tehdas C'!$E$42</f>
        <v>7078.0067999999992</v>
      </c>
      <c r="H29" s="116">
        <f>'Tehdas C'!$E$43</f>
        <v>7738.6207679999989</v>
      </c>
    </row>
    <row r="31" spans="3:8" x14ac:dyDescent="0.35">
      <c r="C31" t="s">
        <v>141</v>
      </c>
    </row>
    <row r="33" spans="3:8" x14ac:dyDescent="0.35">
      <c r="C33" s="112" t="s">
        <v>148</v>
      </c>
      <c r="D33" s="113" t="s">
        <v>128</v>
      </c>
      <c r="E33" s="113" t="s">
        <v>129</v>
      </c>
      <c r="F33" s="113" t="s">
        <v>130</v>
      </c>
      <c r="G33" s="113" t="s">
        <v>131</v>
      </c>
      <c r="H33" s="113" t="s">
        <v>132</v>
      </c>
    </row>
    <row r="34" spans="3:8" x14ac:dyDescent="0.35">
      <c r="C34" s="114" t="s">
        <v>125</v>
      </c>
      <c r="D34" s="119">
        <f>'Tehdas A'!O111</f>
        <v>23151291.042317975</v>
      </c>
      <c r="E34" s="119">
        <f>'Tehdas A'!P111</f>
        <v>26946584.655812733</v>
      </c>
      <c r="F34" s="119">
        <f>'Tehdas A'!Q111</f>
        <v>33778113.160103269</v>
      </c>
      <c r="G34" s="119">
        <f>'Tehdas A'!R111</f>
        <v>28464702.101210628</v>
      </c>
      <c r="H34" s="119">
        <f>'Tehdas A'!S111</f>
        <v>31121407.630656958</v>
      </c>
    </row>
    <row r="35" spans="3:8" x14ac:dyDescent="0.35">
      <c r="C35" s="114" t="s">
        <v>126</v>
      </c>
      <c r="D35" s="119">
        <f>'Tehdas B'!O112</f>
        <v>14003851.820490265</v>
      </c>
      <c r="E35" s="119">
        <f>'Tehdas B'!P112</f>
        <v>16299565.233685385</v>
      </c>
      <c r="F35" s="119">
        <f>'Tehdas B'!Q112</f>
        <v>20431849.377436608</v>
      </c>
      <c r="G35" s="119">
        <f>'Tehdas B'!R112</f>
        <v>17217850.598963436</v>
      </c>
      <c r="H35" s="119">
        <f>'Tehdas B'!S112</f>
        <v>18824849.98820002</v>
      </c>
    </row>
    <row r="36" spans="3:8" x14ac:dyDescent="0.35">
      <c r="C36" s="114" t="s">
        <v>127</v>
      </c>
      <c r="D36" s="119">
        <f>'Tehdas C'!O111</f>
        <v>18255206.375865012</v>
      </c>
      <c r="E36" s="119">
        <f>'Tehdas C'!P111</f>
        <v>21247863.158793703</v>
      </c>
      <c r="F36" s="119">
        <f>'Tehdas C'!Q111</f>
        <v>26634645.368065353</v>
      </c>
      <c r="G36" s="119">
        <f>'Tehdas C'!R111</f>
        <v>22444925.871965189</v>
      </c>
      <c r="H36" s="119">
        <f>'Tehdas C'!S111</f>
        <v>24539785.62001526</v>
      </c>
    </row>
    <row r="38" spans="3:8" x14ac:dyDescent="0.35">
      <c r="C38" t="s">
        <v>87</v>
      </c>
    </row>
    <row r="40" spans="3:8" x14ac:dyDescent="0.35">
      <c r="C40" s="120"/>
      <c r="D40" s="120" t="s">
        <v>144</v>
      </c>
      <c r="E40" s="120" t="s">
        <v>145</v>
      </c>
      <c r="F40" s="120" t="s">
        <v>146</v>
      </c>
      <c r="G40" s="120" t="s">
        <v>147</v>
      </c>
    </row>
    <row r="41" spans="3:8" x14ac:dyDescent="0.35">
      <c r="C41" s="120" t="s">
        <v>125</v>
      </c>
      <c r="D41" s="120">
        <f>'Tehdas A'!I46</f>
        <v>0</v>
      </c>
      <c r="E41" s="120">
        <f>'Tehdas A'!I47</f>
        <v>1.4</v>
      </c>
      <c r="F41" s="120">
        <f>'Tehdas A'!I48</f>
        <v>17.7</v>
      </c>
      <c r="G41" s="120">
        <f>'Tehdas A'!I49</f>
        <v>80.900000000000006</v>
      </c>
    </row>
    <row r="42" spans="3:8" x14ac:dyDescent="0.35">
      <c r="C42" s="120" t="s">
        <v>126</v>
      </c>
      <c r="D42" s="120">
        <f>'Tehdas B'!I46</f>
        <v>0</v>
      </c>
      <c r="E42" s="120">
        <f>'Tehdas B'!I47</f>
        <v>1.8</v>
      </c>
      <c r="F42" s="120">
        <f>'Tehdas B'!I48</f>
        <v>8.4</v>
      </c>
      <c r="G42" s="120">
        <f>'Tehdas B'!I49</f>
        <v>89.8</v>
      </c>
    </row>
    <row r="43" spans="3:8" x14ac:dyDescent="0.35">
      <c r="C43" s="120" t="s">
        <v>127</v>
      </c>
      <c r="D43" s="120">
        <f>'Tehdas C'!I46</f>
        <v>0</v>
      </c>
      <c r="E43" s="120">
        <f>'Tehdas C'!I47</f>
        <v>1.5</v>
      </c>
      <c r="F43" s="120">
        <f>'Tehdas C'!I48</f>
        <v>25.1</v>
      </c>
      <c r="G43" s="120">
        <f>'Tehdas C'!I49</f>
        <v>73.400000000000006</v>
      </c>
    </row>
    <row r="45" spans="3:8" x14ac:dyDescent="0.35">
      <c r="C45" s="120"/>
      <c r="D45" s="120" t="s">
        <v>162</v>
      </c>
      <c r="E45" s="120" t="s">
        <v>163</v>
      </c>
      <c r="F45" s="120" t="s">
        <v>164</v>
      </c>
      <c r="G45" s="120" t="s">
        <v>165</v>
      </c>
    </row>
    <row r="46" spans="3:8" x14ac:dyDescent="0.35">
      <c r="C46" s="120" t="s">
        <v>125</v>
      </c>
      <c r="D46" s="124">
        <f>'Tehdas A'!I59</f>
        <v>0</v>
      </c>
      <c r="E46" s="124">
        <f>'Tehdas A'!I60</f>
        <v>326.16067428089201</v>
      </c>
      <c r="F46" s="124">
        <f>'Tehdas A'!I61</f>
        <v>3822.3587677028818</v>
      </c>
      <c r="G46" s="124">
        <f>'Tehdas A'!I62</f>
        <v>22027.431606945644</v>
      </c>
    </row>
    <row r="47" spans="3:8" x14ac:dyDescent="0.35">
      <c r="C47" s="120" t="s">
        <v>126</v>
      </c>
      <c r="D47" s="124">
        <f>'Tehdas B'!I59</f>
        <v>0</v>
      </c>
      <c r="E47" s="124">
        <f>'Tehdas B'!I60</f>
        <v>261.35576801589542</v>
      </c>
      <c r="F47" s="124">
        <f>'Tehdas B'!I61</f>
        <v>1130.5596749301644</v>
      </c>
      <c r="G47" s="124">
        <f>'Tehdas B'!I62</f>
        <v>15238.69230745389</v>
      </c>
    </row>
    <row r="48" spans="3:8" x14ac:dyDescent="0.35">
      <c r="C48" s="120" t="s">
        <v>127</v>
      </c>
      <c r="D48" s="124">
        <f>'Tehdas C'!I59</f>
        <v>0</v>
      </c>
      <c r="E48" s="124">
        <f>'Tehdas C'!I60</f>
        <v>269.91214431756094</v>
      </c>
      <c r="F48" s="124">
        <f>'Tehdas C'!I61</f>
        <v>4186.5811004584584</v>
      </c>
      <c r="G48" s="124">
        <f>'Tehdas C'!I62</f>
        <v>15436.1505487166</v>
      </c>
    </row>
    <row r="51" spans="4:8" x14ac:dyDescent="0.35">
      <c r="E51" t="s">
        <v>153</v>
      </c>
    </row>
    <row r="52" spans="4:8" x14ac:dyDescent="0.35">
      <c r="D52" t="s">
        <v>125</v>
      </c>
      <c r="E52" s="111">
        <f>'Tehdas A'!E29</f>
        <v>12218.618534399999</v>
      </c>
    </row>
    <row r="53" spans="4:8" x14ac:dyDescent="0.35">
      <c r="D53" t="s">
        <v>126</v>
      </c>
      <c r="E53" s="111">
        <f>'Tehdas B'!E29</f>
        <v>7615.1441710079998</v>
      </c>
    </row>
    <row r="54" spans="4:8" x14ac:dyDescent="0.35">
      <c r="D54" t="s">
        <v>127</v>
      </c>
      <c r="E54" s="111">
        <f>'Tehdas C'!E29</f>
        <v>9437.3423999999995</v>
      </c>
    </row>
    <row r="57" spans="4:8" x14ac:dyDescent="0.35">
      <c r="E57" t="s">
        <v>148</v>
      </c>
      <c r="F57" t="s">
        <v>125</v>
      </c>
      <c r="G57" t="s">
        <v>126</v>
      </c>
      <c r="H57" t="s">
        <v>127</v>
      </c>
    </row>
    <row r="58" spans="4:8" x14ac:dyDescent="0.35">
      <c r="E58" t="s">
        <v>133</v>
      </c>
      <c r="F58" s="111">
        <f>D27</f>
        <v>7453.3573059839991</v>
      </c>
      <c r="G58" s="111">
        <f>D28</f>
        <v>4645.2379443148802</v>
      </c>
      <c r="H58" s="111">
        <f>D29</f>
        <v>5756.7788639999999</v>
      </c>
    </row>
    <row r="59" spans="4:8" x14ac:dyDescent="0.35">
      <c r="E59" t="s">
        <v>134</v>
      </c>
      <c r="F59" s="111">
        <f>E27</f>
        <v>8675.2191594239994</v>
      </c>
      <c r="G59" s="111">
        <f>E28</f>
        <v>5406.7523614156798</v>
      </c>
      <c r="H59" s="111">
        <f>E29</f>
        <v>6700.5131039999997</v>
      </c>
    </row>
    <row r="60" spans="4:8" x14ac:dyDescent="0.35">
      <c r="E60" t="str">
        <f>F26</f>
        <v>Haihdutuskiteytys [kg]</v>
      </c>
      <c r="F60" s="111">
        <f>F27</f>
        <v>10874.570495615999</v>
      </c>
      <c r="G60" s="111">
        <f>F28</f>
        <v>6777.4783121971195</v>
      </c>
      <c r="H60" s="111">
        <f>F29</f>
        <v>8399.2347360000003</v>
      </c>
    </row>
    <row r="61" spans="4:8" x14ac:dyDescent="0.35">
      <c r="E61" t="str">
        <f>G26</f>
        <v>Jäädytyskiteytys [€]</v>
      </c>
      <c r="F61" s="111">
        <f>G27</f>
        <v>9163.9639007999995</v>
      </c>
      <c r="G61" s="111">
        <f>G28</f>
        <v>5711.3581282559999</v>
      </c>
      <c r="H61" s="111">
        <f>G29</f>
        <v>7078.0067999999992</v>
      </c>
    </row>
    <row r="62" spans="4:8" x14ac:dyDescent="0.35">
      <c r="E62" t="str">
        <f>H26</f>
        <v>Ioninvaihto [kg]</v>
      </c>
      <c r="F62" s="111">
        <f>H27</f>
        <v>10019.267198207999</v>
      </c>
      <c r="G62" s="111">
        <f>H28</f>
        <v>6244.4182202265592</v>
      </c>
      <c r="H62" s="111">
        <f>H29</f>
        <v>7738.6207679999989</v>
      </c>
    </row>
    <row r="64" spans="4:8" x14ac:dyDescent="0.35">
      <c r="E64" t="s">
        <v>168</v>
      </c>
    </row>
    <row r="65" spans="4:5" x14ac:dyDescent="0.35">
      <c r="D65" t="s">
        <v>125</v>
      </c>
      <c r="E65" t="s">
        <v>170</v>
      </c>
    </row>
    <row r="66" spans="4:5" x14ac:dyDescent="0.35">
      <c r="D66" t="s">
        <v>126</v>
      </c>
      <c r="E66" t="s">
        <v>169</v>
      </c>
    </row>
    <row r="67" spans="4:5" x14ac:dyDescent="0.35">
      <c r="D67" t="s">
        <v>127</v>
      </c>
      <c r="E67" t="s">
        <v>171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Tehdas A</vt:lpstr>
      <vt:lpstr>Tehdas B</vt:lpstr>
      <vt:lpstr>Tehdas C</vt:lpstr>
      <vt:lpstr>Tuloksia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Kassu Rissanen</dc:creator>
  <cp:lastModifiedBy>Kassu Rissanen</cp:lastModifiedBy>
  <dcterms:created xsi:type="dcterms:W3CDTF">2024-09-19T11:07:48Z</dcterms:created>
  <dcterms:modified xsi:type="dcterms:W3CDTF">2025-02-13T10:42:31Z</dcterms:modified>
</cp:coreProperties>
</file>